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ft365-my.sharepoint.com/personal/jmalz_theimaginegroup_com/Documents/NACM/Forecasting Webinar Nov 2024/"/>
    </mc:Choice>
  </mc:AlternateContent>
  <xr:revisionPtr revIDLastSave="48" documentId="13_ncr:1_{BE390CAD-4FF7-4370-88CE-95ADD6E9C2ED}" xr6:coauthVersionLast="47" xr6:coauthVersionMax="47" xr10:uidLastSave="{E628805B-0546-4DB8-BF3F-AA5AA432CD4C}"/>
  <bookViews>
    <workbookView xWindow="28680" yWindow="-120" windowWidth="29040" windowHeight="15840" tabRatio="941" xr2:uid="{00000000-000D-0000-FFFF-FFFF00000000}"/>
  </bookViews>
  <sheets>
    <sheet name="% Beg AR" sheetId="9" r:id="rId1"/>
    <sheet name="Mthly Mov Avg" sheetId="1" r:id="rId2"/>
    <sheet name="% AR" sheetId="10" r:id="rId3"/>
    <sheet name="Build Up" sheetId="2" r:id="rId4"/>
    <sheet name="Roll Forward" sheetId="3" r:id="rId5"/>
    <sheet name="DSO" sheetId="11" r:id="rId6"/>
    <sheet name="Top XX Bucket" sheetId="5" r:id="rId7"/>
    <sheet name="Customer by Customer" sheetId="12" r:id="rId8"/>
    <sheet name="Avail Model X" sheetId="4" r:id="rId9"/>
    <sheet name="Avail Model y" sheetId="13" r:id="rId10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2" l="1"/>
  <c r="L10" i="2"/>
  <c r="H11" i="13" l="1"/>
  <c r="E11" i="13"/>
  <c r="H6" i="13"/>
  <c r="H8" i="13" s="1"/>
  <c r="H9" i="13" s="1"/>
  <c r="H12" i="13" s="1"/>
  <c r="H14" i="13" s="1"/>
  <c r="G6" i="13"/>
  <c r="G8" i="13" s="1"/>
  <c r="G9" i="13" s="1"/>
  <c r="G12" i="13" s="1"/>
  <c r="G14" i="13" s="1"/>
  <c r="F6" i="13"/>
  <c r="F8" i="13" s="1"/>
  <c r="F9" i="13" s="1"/>
  <c r="F12" i="13" s="1"/>
  <c r="F14" i="13" s="1"/>
  <c r="E6" i="13"/>
  <c r="E8" i="13" s="1"/>
  <c r="E9" i="13" s="1"/>
  <c r="E12" i="13" s="1"/>
  <c r="E14" i="13" s="1"/>
  <c r="D6" i="13"/>
  <c r="D8" i="13" s="1"/>
  <c r="D9" i="13" s="1"/>
  <c r="D12" i="13" s="1"/>
  <c r="D14" i="13" s="1"/>
  <c r="I3" i="13"/>
  <c r="I14" i="13" l="1"/>
  <c r="P17" i="11" l="1"/>
  <c r="P21" i="11"/>
  <c r="P22" i="11" s="1"/>
  <c r="O22" i="11"/>
  <c r="N22" i="11"/>
  <c r="M22" i="11"/>
  <c r="L22" i="11"/>
  <c r="K22" i="11"/>
  <c r="J22" i="11"/>
  <c r="I22" i="11"/>
  <c r="H22" i="11"/>
  <c r="G22" i="11"/>
  <c r="F22" i="11"/>
  <c r="E22" i="11"/>
  <c r="D22" i="11"/>
  <c r="J12" i="11"/>
  <c r="J14" i="11" s="1"/>
  <c r="J15" i="11" s="1"/>
  <c r="J16" i="11" s="1"/>
  <c r="J13" i="11"/>
  <c r="I12" i="11"/>
  <c r="I13" i="11"/>
  <c r="I14" i="11"/>
  <c r="I15" i="11"/>
  <c r="I16" i="11" s="1"/>
  <c r="H12" i="11"/>
  <c r="H14" i="11"/>
  <c r="H15" i="11" s="1"/>
  <c r="H16" i="11" s="1"/>
  <c r="H13" i="11"/>
  <c r="G12" i="11"/>
  <c r="G14" i="11" s="1"/>
  <c r="G15" i="11" s="1"/>
  <c r="G16" i="11" s="1"/>
  <c r="G13" i="11"/>
  <c r="F12" i="11"/>
  <c r="F14" i="11" s="1"/>
  <c r="F15" i="11" s="1"/>
  <c r="F16" i="11" s="1"/>
  <c r="F13" i="11"/>
  <c r="E12" i="11"/>
  <c r="E13" i="11"/>
  <c r="E14" i="11"/>
  <c r="E15" i="11" s="1"/>
  <c r="E16" i="11" s="1"/>
  <c r="D12" i="11"/>
  <c r="D14" i="11"/>
  <c r="D15" i="11"/>
  <c r="D13" i="11"/>
  <c r="K12" i="11"/>
  <c r="K13" i="11"/>
  <c r="K14" i="11" s="1"/>
  <c r="K15" i="11" s="1"/>
  <c r="K16" i="11" s="1"/>
  <c r="L12" i="11"/>
  <c r="L14" i="11" s="1"/>
  <c r="L15" i="11" s="1"/>
  <c r="L16" i="11" s="1"/>
  <c r="L13" i="11"/>
  <c r="M12" i="11"/>
  <c r="M14" i="11" s="1"/>
  <c r="M15" i="11" s="1"/>
  <c r="M16" i="11" s="1"/>
  <c r="M13" i="11"/>
  <c r="N12" i="11"/>
  <c r="N14" i="11"/>
  <c r="N15" i="11"/>
  <c r="N16" i="11" s="1"/>
  <c r="N13" i="11"/>
  <c r="O12" i="11"/>
  <c r="O13" i="11"/>
  <c r="O14" i="11"/>
  <c r="O15" i="11" s="1"/>
  <c r="O16" i="11" s="1"/>
  <c r="P10" i="11"/>
  <c r="P8" i="11"/>
  <c r="F11" i="12"/>
  <c r="F12" i="12"/>
  <c r="F13" i="12"/>
  <c r="F14" i="12"/>
  <c r="F100" i="12" s="1"/>
  <c r="B109" i="12" s="1"/>
  <c r="B111" i="12" s="1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F85" i="12"/>
  <c r="F86" i="12"/>
  <c r="F87" i="12"/>
  <c r="F88" i="12"/>
  <c r="F89" i="12"/>
  <c r="F90" i="12"/>
  <c r="F91" i="12"/>
  <c r="F92" i="12"/>
  <c r="F93" i="12"/>
  <c r="F94" i="12"/>
  <c r="F95" i="12"/>
  <c r="F96" i="12"/>
  <c r="F97" i="12"/>
  <c r="F98" i="12"/>
  <c r="F99" i="12"/>
  <c r="B105" i="12"/>
  <c r="B110" i="12"/>
  <c r="B108" i="12"/>
  <c r="B121" i="12" s="1"/>
  <c r="D100" i="12"/>
  <c r="B116" i="12"/>
  <c r="B117" i="12"/>
  <c r="B118" i="12" s="1"/>
  <c r="G100" i="12"/>
  <c r="B112" i="12"/>
  <c r="E100" i="12"/>
  <c r="K60" i="10"/>
  <c r="K61" i="10"/>
  <c r="K62" i="10"/>
  <c r="K66" i="10" s="1"/>
  <c r="K63" i="10"/>
  <c r="K64" i="10"/>
  <c r="K65" i="10"/>
  <c r="I66" i="10"/>
  <c r="E60" i="10"/>
  <c r="E61" i="10"/>
  <c r="E62" i="10"/>
  <c r="E66" i="10" s="1"/>
  <c r="E63" i="10"/>
  <c r="E64" i="10"/>
  <c r="E65" i="10"/>
  <c r="C66" i="10"/>
  <c r="K49" i="10"/>
  <c r="K50" i="10"/>
  <c r="K51" i="10"/>
  <c r="K55" i="10" s="1"/>
  <c r="K52" i="10"/>
  <c r="K53" i="10"/>
  <c r="K54" i="10"/>
  <c r="I55" i="10"/>
  <c r="E49" i="10"/>
  <c r="E50" i="10"/>
  <c r="E51" i="10"/>
  <c r="E55" i="10" s="1"/>
  <c r="E52" i="10"/>
  <c r="E53" i="10"/>
  <c r="E54" i="10"/>
  <c r="C55" i="10"/>
  <c r="K38" i="10"/>
  <c r="K39" i="10"/>
  <c r="K40" i="10"/>
  <c r="K44" i="10" s="1"/>
  <c r="K41" i="10"/>
  <c r="K42" i="10"/>
  <c r="K43" i="10"/>
  <c r="I44" i="10"/>
  <c r="E38" i="10"/>
  <c r="E39" i="10"/>
  <c r="E40" i="10"/>
  <c r="E44" i="10" s="1"/>
  <c r="E41" i="10"/>
  <c r="E42" i="10"/>
  <c r="E43" i="10"/>
  <c r="C44" i="10"/>
  <c r="K27" i="10"/>
  <c r="K28" i="10"/>
  <c r="K29" i="10"/>
  <c r="K33" i="10" s="1"/>
  <c r="K30" i="10"/>
  <c r="K31" i="10"/>
  <c r="K32" i="10"/>
  <c r="I33" i="10"/>
  <c r="E27" i="10"/>
  <c r="E28" i="10"/>
  <c r="E29" i="10"/>
  <c r="E33" i="10" s="1"/>
  <c r="E30" i="10"/>
  <c r="E31" i="10"/>
  <c r="E32" i="10"/>
  <c r="C33" i="10"/>
  <c r="K16" i="10"/>
  <c r="K17" i="10"/>
  <c r="K18" i="10"/>
  <c r="K22" i="10" s="1"/>
  <c r="K19" i="10"/>
  <c r="K20" i="10"/>
  <c r="K21" i="10"/>
  <c r="I22" i="10"/>
  <c r="E16" i="10"/>
  <c r="E17" i="10"/>
  <c r="E18" i="10"/>
  <c r="E22" i="10" s="1"/>
  <c r="E19" i="10"/>
  <c r="E20" i="10"/>
  <c r="E21" i="10"/>
  <c r="C22" i="10"/>
  <c r="K5" i="10"/>
  <c r="K6" i="10"/>
  <c r="K7" i="10"/>
  <c r="K11" i="10" s="1"/>
  <c r="K8" i="10"/>
  <c r="K9" i="10"/>
  <c r="K10" i="10"/>
  <c r="I11" i="10"/>
  <c r="E5" i="10"/>
  <c r="E6" i="10"/>
  <c r="E7" i="10"/>
  <c r="E11" i="10" s="1"/>
  <c r="E8" i="10"/>
  <c r="E9" i="10"/>
  <c r="E10" i="10"/>
  <c r="C11" i="10"/>
  <c r="C24" i="4"/>
  <c r="D24" i="4"/>
  <c r="E24" i="4"/>
  <c r="F24" i="4"/>
  <c r="G24" i="4"/>
  <c r="H24" i="4"/>
  <c r="I24" i="4"/>
  <c r="J24" i="4"/>
  <c r="K24" i="4"/>
  <c r="L24" i="4"/>
  <c r="M24" i="4"/>
  <c r="B24" i="4"/>
  <c r="K16" i="4"/>
  <c r="K18" i="4" s="1"/>
  <c r="C16" i="4"/>
  <c r="C18" i="4" s="1"/>
  <c r="D16" i="4"/>
  <c r="D18" i="4"/>
  <c r="E16" i="4"/>
  <c r="E18" i="4"/>
  <c r="F16" i="4"/>
  <c r="F18" i="4" s="1"/>
  <c r="G16" i="4"/>
  <c r="G18" i="4" s="1"/>
  <c r="H16" i="4"/>
  <c r="H18" i="4"/>
  <c r="I16" i="4"/>
  <c r="I18" i="4"/>
  <c r="J16" i="4"/>
  <c r="J18" i="4" s="1"/>
  <c r="L16" i="4"/>
  <c r="L18" i="4" s="1"/>
  <c r="M16" i="4"/>
  <c r="M18" i="4"/>
  <c r="B16" i="4"/>
  <c r="B18" i="4"/>
  <c r="D26" i="5"/>
  <c r="D14" i="5"/>
  <c r="D28" i="5"/>
  <c r="E26" i="5"/>
  <c r="E28" i="5" s="1"/>
  <c r="E14" i="5"/>
  <c r="F26" i="5"/>
  <c r="F28" i="5"/>
  <c r="F14" i="5"/>
  <c r="G26" i="5"/>
  <c r="G14" i="5"/>
  <c r="G28" i="5" s="1"/>
  <c r="H26" i="5"/>
  <c r="H28" i="5" s="1"/>
  <c r="H14" i="5"/>
  <c r="I26" i="5"/>
  <c r="I28" i="5" s="1"/>
  <c r="I14" i="5"/>
  <c r="J26" i="5"/>
  <c r="J14" i="5"/>
  <c r="J28" i="5" s="1"/>
  <c r="K26" i="5"/>
  <c r="K28" i="5" s="1"/>
  <c r="K14" i="5"/>
  <c r="L26" i="5"/>
  <c r="L14" i="5"/>
  <c r="L28" i="5"/>
  <c r="M26" i="5"/>
  <c r="M28" i="5" s="1"/>
  <c r="M14" i="5"/>
  <c r="N26" i="5"/>
  <c r="N28" i="5"/>
  <c r="N14" i="5"/>
  <c r="C26" i="5"/>
  <c r="C14" i="5"/>
  <c r="C28" i="5" s="1"/>
  <c r="P9" i="3"/>
  <c r="P13" i="3" s="1"/>
  <c r="P18" i="3" s="1"/>
  <c r="P19" i="3" s="1"/>
  <c r="K18" i="3"/>
  <c r="J18" i="3"/>
  <c r="I18" i="3"/>
  <c r="H18" i="3"/>
  <c r="H19" i="3"/>
  <c r="G18" i="3"/>
  <c r="G19" i="3"/>
  <c r="F18" i="3"/>
  <c r="F19" i="3" s="1"/>
  <c r="E18" i="3"/>
  <c r="D18" i="3"/>
  <c r="C18" i="3"/>
  <c r="C19" i="3"/>
  <c r="P17" i="3"/>
  <c r="O17" i="3"/>
  <c r="N17" i="3"/>
  <c r="M17" i="3"/>
  <c r="L17" i="3"/>
  <c r="K17" i="3"/>
  <c r="K19" i="3" s="1"/>
  <c r="J17" i="3"/>
  <c r="J19" i="3"/>
  <c r="I17" i="3"/>
  <c r="I19" i="3" s="1"/>
  <c r="H17" i="3"/>
  <c r="G17" i="3"/>
  <c r="F17" i="3"/>
  <c r="E17" i="3"/>
  <c r="E19" i="3"/>
  <c r="D17" i="3"/>
  <c r="D19" i="3" s="1"/>
  <c r="C17" i="3"/>
  <c r="P8" i="3"/>
  <c r="P10" i="3"/>
  <c r="O8" i="3"/>
  <c r="O13" i="3"/>
  <c r="O18" i="3"/>
  <c r="O19" i="3" s="1"/>
  <c r="O9" i="3"/>
  <c r="O10" i="3"/>
  <c r="N8" i="3"/>
  <c r="N9" i="3"/>
  <c r="N10" i="3"/>
  <c r="N13" i="3"/>
  <c r="N18" i="3"/>
  <c r="N19" i="3" s="1"/>
  <c r="M8" i="3"/>
  <c r="M13" i="3" s="1"/>
  <c r="M18" i="3" s="1"/>
  <c r="M19" i="3" s="1"/>
  <c r="M9" i="3"/>
  <c r="M10" i="3"/>
  <c r="L8" i="3"/>
  <c r="L13" i="3" s="1"/>
  <c r="L18" i="3" s="1"/>
  <c r="L19" i="3" s="1"/>
  <c r="L9" i="3"/>
  <c r="L10" i="3"/>
  <c r="A11" i="3"/>
  <c r="M10" i="2"/>
  <c r="L9" i="2"/>
  <c r="P10" i="2"/>
  <c r="O10" i="2"/>
  <c r="N10" i="2"/>
  <c r="P9" i="2"/>
  <c r="O9" i="2"/>
  <c r="N9" i="2"/>
  <c r="M9" i="2"/>
  <c r="M13" i="2" s="1"/>
  <c r="P8" i="2"/>
  <c r="P13" i="2" s="1"/>
  <c r="O8" i="2"/>
  <c r="O13" i="2" s="1"/>
  <c r="N8" i="2"/>
  <c r="N13" i="2" s="1"/>
  <c r="M8" i="2"/>
  <c r="L8" i="2"/>
  <c r="A11" i="2"/>
  <c r="Q6" i="1"/>
  <c r="P6" i="1"/>
  <c r="O6" i="1"/>
  <c r="N6" i="1"/>
  <c r="M6" i="1"/>
  <c r="L6" i="1"/>
  <c r="K6" i="1"/>
  <c r="J6" i="1"/>
  <c r="I6" i="1"/>
  <c r="H6" i="1"/>
  <c r="G6" i="1"/>
  <c r="F6" i="1"/>
  <c r="I15" i="9"/>
  <c r="M15" i="9"/>
  <c r="C6" i="9"/>
  <c r="C11" i="9"/>
  <c r="C15" i="9"/>
  <c r="N11" i="9"/>
  <c r="M11" i="9"/>
  <c r="L11" i="9"/>
  <c r="K11" i="9"/>
  <c r="K15" i="9"/>
  <c r="J11" i="9"/>
  <c r="I11" i="9"/>
  <c r="H11" i="9"/>
  <c r="G11" i="9"/>
  <c r="F11" i="9"/>
  <c r="E11" i="9"/>
  <c r="D11" i="9"/>
  <c r="N6" i="9"/>
  <c r="N15" i="9" s="1"/>
  <c r="M6" i="9"/>
  <c r="L6" i="9"/>
  <c r="L15" i="9" s="1"/>
  <c r="K6" i="9"/>
  <c r="J6" i="9"/>
  <c r="J15" i="9"/>
  <c r="I6" i="9"/>
  <c r="H6" i="9"/>
  <c r="H15" i="9"/>
  <c r="G6" i="9"/>
  <c r="G15" i="9" s="1"/>
  <c r="F6" i="9"/>
  <c r="F15" i="9"/>
  <c r="E6" i="9"/>
  <c r="E15" i="9" s="1"/>
  <c r="D6" i="9"/>
  <c r="D15" i="9" s="1"/>
  <c r="G19" i="11" l="1"/>
  <c r="G18" i="11"/>
  <c r="G20" i="11"/>
  <c r="J20" i="11"/>
  <c r="J18" i="11"/>
  <c r="J19" i="11"/>
  <c r="B120" i="12"/>
  <c r="B122" i="12" s="1"/>
  <c r="B113" i="12"/>
  <c r="L18" i="11"/>
  <c r="L19" i="11"/>
  <c r="O18" i="11"/>
  <c r="O19" i="11"/>
  <c r="K19" i="11"/>
  <c r="K18" i="11"/>
  <c r="I20" i="11"/>
  <c r="I19" i="11"/>
  <c r="I18" i="11"/>
  <c r="H20" i="11"/>
  <c r="H19" i="11"/>
  <c r="H18" i="11"/>
  <c r="N19" i="11"/>
  <c r="N18" i="11"/>
  <c r="E20" i="11"/>
  <c r="E18" i="11"/>
  <c r="E19" i="11"/>
  <c r="F20" i="11"/>
  <c r="F19" i="11"/>
  <c r="F18" i="11"/>
  <c r="M18" i="11"/>
  <c r="M19" i="11"/>
  <c r="P15" i="11"/>
  <c r="D16" i="11"/>
  <c r="D18" i="11" l="1"/>
  <c r="D19" i="11"/>
  <c r="D20" i="11"/>
  <c r="P16" i="11"/>
  <c r="P19" i="11" s="1"/>
</calcChain>
</file>

<file path=xl/sharedStrings.xml><?xml version="1.0" encoding="utf-8"?>
<sst xmlns="http://schemas.openxmlformats.org/spreadsheetml/2006/main" count="614" uniqueCount="361">
  <si>
    <t>Actual Trade Coll $</t>
  </si>
  <si>
    <t>% of Beg AR</t>
  </si>
  <si>
    <t>Beg AR</t>
  </si>
  <si>
    <t>Variance Curr</t>
  </si>
  <si>
    <t>Year Over Prev YR</t>
  </si>
  <si>
    <t xml:space="preserve">explain any 2% </t>
  </si>
  <si>
    <t>variance</t>
  </si>
  <si>
    <t xml:space="preserve">Trade Receipts </t>
  </si>
  <si>
    <t>4 month Average</t>
  </si>
  <si>
    <t>Projected Sales</t>
  </si>
  <si>
    <t>Actual Sales</t>
  </si>
  <si>
    <t>Projected DSO</t>
  </si>
  <si>
    <t>DSO 30</t>
  </si>
  <si>
    <t>Curr Mth DSO</t>
  </si>
  <si>
    <t>Prev Mth DSO</t>
  </si>
  <si>
    <t>Bal 2nd Prev Mth DSO</t>
  </si>
  <si>
    <t>Projected Curr Mth End AR</t>
  </si>
  <si>
    <t>Current Month Beg AR</t>
  </si>
  <si>
    <t>Less Proj ME AR</t>
  </si>
  <si>
    <t>Forecasted Collections</t>
  </si>
  <si>
    <t>Monthly Moving Average Model</t>
  </si>
  <si>
    <t>% of Aging Categories</t>
  </si>
  <si>
    <t>Build Up Model</t>
  </si>
  <si>
    <t>Roll Forward Model</t>
  </si>
  <si>
    <t>Major Customer Payments Expected</t>
  </si>
  <si>
    <t xml:space="preserve">Name </t>
  </si>
  <si>
    <t>Payments Expected</t>
  </si>
  <si>
    <t>Subtotal</t>
  </si>
  <si>
    <t>Remaining Customer Historic</t>
  </si>
  <si>
    <t>% Collected applied to AR bal</t>
  </si>
  <si>
    <t>Current</t>
  </si>
  <si>
    <t>1-30</t>
  </si>
  <si>
    <t>31-60</t>
  </si>
  <si>
    <t>61-90</t>
  </si>
  <si>
    <t>90+</t>
  </si>
  <si>
    <t>Or % against Overall</t>
  </si>
  <si>
    <t>Monthly Forecast</t>
  </si>
  <si>
    <t>Month:</t>
  </si>
  <si>
    <t>Aging Category</t>
  </si>
  <si>
    <t>Balance$</t>
  </si>
  <si>
    <t>Historic %</t>
  </si>
  <si>
    <t>Future</t>
  </si>
  <si>
    <t>Total for Month</t>
  </si>
  <si>
    <t>$ to collect</t>
  </si>
  <si>
    <t>Actual</t>
  </si>
  <si>
    <t>Beginning A/R Balance</t>
  </si>
  <si>
    <t>YTD</t>
  </si>
  <si>
    <t>($000)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</si>
  <si>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</si>
  <si>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</si>
  <si>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</si>
  <si>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</si>
  <si>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</si>
  <si>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</si>
  <si>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</si>
  <si>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</si>
  <si>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</si>
  <si>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</si>
  <si>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</si>
  <si>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</si>
  <si>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totals</t>
  </si>
  <si>
    <t># of Days</t>
  </si>
  <si>
    <t>Second Prior Month's Sales</t>
  </si>
  <si>
    <t>First Prior Month's Sales</t>
  </si>
  <si>
    <t>Dollar Per Day</t>
  </si>
  <si>
    <t>Forecast for Month</t>
  </si>
  <si>
    <t>Forecast to Corporate</t>
  </si>
  <si>
    <t>Actual Cash Collections</t>
  </si>
  <si>
    <t>Better / (Worse)</t>
  </si>
  <si>
    <t>% of Forecast</t>
  </si>
  <si>
    <t>Percent Collected</t>
  </si>
  <si>
    <t>Forecast Based on X Day DSO</t>
  </si>
  <si>
    <t>Input Numbers</t>
  </si>
  <si>
    <t>Rounded Forecast Number to Corp</t>
  </si>
  <si>
    <t>Total AR</t>
  </si>
  <si>
    <t>less Future Due</t>
  </si>
  <si>
    <t>Less Due Beyond Fiscal Month End</t>
  </si>
  <si>
    <t>Less Due last 4 days of Fiscal Month</t>
  </si>
  <si>
    <t>Plus Credit Card and Branch Cash</t>
  </si>
  <si>
    <t>Less Consignment and Doubtful Accounts</t>
  </si>
  <si>
    <t>Less Inter-company</t>
  </si>
  <si>
    <t>Less Rebates and Co-Ops</t>
  </si>
  <si>
    <t>Less Net Deductions</t>
  </si>
  <si>
    <t>Less Cash Carryover (Cash in Transit)</t>
  </si>
  <si>
    <t>Less Significant Balances not being Paid</t>
  </si>
  <si>
    <t>Equals Available for Collections</t>
  </si>
  <si>
    <t>data entry</t>
  </si>
  <si>
    <t>Efficiency Collection Estimate (%)</t>
  </si>
  <si>
    <t>formula</t>
  </si>
  <si>
    <t>Submitted to Corproate</t>
  </si>
  <si>
    <t>Actual Collected</t>
  </si>
  <si>
    <t>Variance</t>
  </si>
  <si>
    <t>Customers with open accounts</t>
  </si>
  <si>
    <t>Date Key:</t>
  </si>
  <si>
    <t xml:space="preserve">Lst Collect: </t>
  </si>
  <si>
    <t>Other than Net 30 days</t>
  </si>
  <si>
    <t>Discounts:</t>
  </si>
  <si>
    <t>AMAT:</t>
  </si>
  <si>
    <t>Inv Date + 15</t>
  </si>
  <si>
    <t>Inv Date + 25-35</t>
  </si>
  <si>
    <t>Jan Forecast</t>
  </si>
  <si>
    <t>Customer</t>
  </si>
  <si>
    <t>CUID #</t>
  </si>
  <si>
    <t>Terms</t>
  </si>
  <si>
    <t>Collectible</t>
  </si>
  <si>
    <t>Uncollectable</t>
  </si>
  <si>
    <t>Extra</t>
  </si>
  <si>
    <t>011563</t>
  </si>
  <si>
    <t>I/H 45</t>
  </si>
  <si>
    <t>013497</t>
  </si>
  <si>
    <t>Net 45</t>
  </si>
  <si>
    <t>011898</t>
  </si>
  <si>
    <t>011938</t>
  </si>
  <si>
    <t>014645</t>
  </si>
  <si>
    <t>006390</t>
  </si>
  <si>
    <t>Net 60</t>
  </si>
  <si>
    <t>013748</t>
  </si>
  <si>
    <t>Net 30 I/H 45</t>
  </si>
  <si>
    <t>001732</t>
  </si>
  <si>
    <t>012614</t>
  </si>
  <si>
    <t>005766</t>
  </si>
  <si>
    <t>Disc .5% 10 N45</t>
  </si>
  <si>
    <t>014053</t>
  </si>
  <si>
    <t>014299</t>
  </si>
  <si>
    <t>010057</t>
  </si>
  <si>
    <t>013519</t>
  </si>
  <si>
    <t>N40 I/H 45</t>
  </si>
  <si>
    <t>011593</t>
  </si>
  <si>
    <t>013982</t>
  </si>
  <si>
    <t>010099</t>
  </si>
  <si>
    <t>014497</t>
  </si>
  <si>
    <t>011421</t>
  </si>
  <si>
    <t>014531</t>
  </si>
  <si>
    <t>011450</t>
  </si>
  <si>
    <t>Net 45/IH 55</t>
  </si>
  <si>
    <t>011410</t>
  </si>
  <si>
    <t>010537</t>
  </si>
  <si>
    <t>010966</t>
  </si>
  <si>
    <t>011755</t>
  </si>
  <si>
    <t>Net 30 I/H 60</t>
  </si>
  <si>
    <t>012603</t>
  </si>
  <si>
    <t>011778</t>
  </si>
  <si>
    <t>011779</t>
  </si>
  <si>
    <t>011780</t>
  </si>
  <si>
    <t>004462</t>
  </si>
  <si>
    <t>010896</t>
  </si>
  <si>
    <t>Net 75</t>
  </si>
  <si>
    <t>006015</t>
  </si>
  <si>
    <t>1% 20/Net 75</t>
  </si>
  <si>
    <t>90% of Total Due</t>
  </si>
  <si>
    <t>013001</t>
  </si>
  <si>
    <t>010766</t>
  </si>
  <si>
    <t>013989</t>
  </si>
  <si>
    <t>014431</t>
  </si>
  <si>
    <t>Does not take Discount</t>
  </si>
  <si>
    <t>014352</t>
  </si>
  <si>
    <t>014673</t>
  </si>
  <si>
    <t>013934</t>
  </si>
  <si>
    <t>Net 45 &amp; Net 60</t>
  </si>
  <si>
    <t>014451</t>
  </si>
  <si>
    <t>012259</t>
  </si>
  <si>
    <t>010173</t>
  </si>
  <si>
    <t>014529</t>
  </si>
  <si>
    <t>Net 45 EOM</t>
  </si>
  <si>
    <t>012977</t>
  </si>
  <si>
    <t>014526</t>
  </si>
  <si>
    <t>006070</t>
  </si>
  <si>
    <t>013033</t>
  </si>
  <si>
    <t>013468</t>
  </si>
  <si>
    <t>013858</t>
  </si>
  <si>
    <t xml:space="preserve">Net 60 </t>
  </si>
  <si>
    <t>010977</t>
  </si>
  <si>
    <t>013937</t>
  </si>
  <si>
    <t>014489</t>
  </si>
  <si>
    <t>011975</t>
  </si>
  <si>
    <t>Receipt of Product</t>
  </si>
  <si>
    <t>011121</t>
  </si>
  <si>
    <t>014619</t>
  </si>
  <si>
    <t>010276</t>
  </si>
  <si>
    <t>004274</t>
  </si>
  <si>
    <t>013986</t>
  </si>
  <si>
    <t>014265</t>
  </si>
  <si>
    <t>014484</t>
  </si>
  <si>
    <t>014234</t>
  </si>
  <si>
    <t>010553</t>
  </si>
  <si>
    <t>012134</t>
  </si>
  <si>
    <t xml:space="preserve">Net 45 </t>
  </si>
  <si>
    <t>004763</t>
  </si>
  <si>
    <t>013545</t>
  </si>
  <si>
    <t>002733</t>
  </si>
  <si>
    <t>010565</t>
  </si>
  <si>
    <t>014098</t>
  </si>
  <si>
    <t>014696</t>
  </si>
  <si>
    <t>014236</t>
  </si>
  <si>
    <t>013999</t>
  </si>
  <si>
    <t>014543</t>
  </si>
  <si>
    <t>003812</t>
  </si>
  <si>
    <t>011579</t>
  </si>
  <si>
    <t>010046</t>
  </si>
  <si>
    <t>001184</t>
  </si>
  <si>
    <t>012251</t>
  </si>
  <si>
    <t>000623</t>
  </si>
  <si>
    <t>012913</t>
  </si>
  <si>
    <t>014386</t>
  </si>
  <si>
    <t>013829</t>
  </si>
  <si>
    <t>010291</t>
  </si>
  <si>
    <t>014344</t>
  </si>
  <si>
    <t>010600</t>
  </si>
  <si>
    <t>010396</t>
  </si>
  <si>
    <t>013698</t>
  </si>
  <si>
    <t>014197</t>
  </si>
  <si>
    <t>005850</t>
  </si>
  <si>
    <t>011005</t>
  </si>
  <si>
    <t>Totals:</t>
  </si>
  <si>
    <t>using Lst of:</t>
  </si>
  <si>
    <t>Less:  Other Than 30 Accounts / IC:</t>
  </si>
  <si>
    <t>= Ship Log Uncollectable:</t>
  </si>
  <si>
    <t>Aging:</t>
  </si>
  <si>
    <t>Less Inter-company:</t>
  </si>
  <si>
    <t>Less Other Than 30 Uncollectable:</t>
  </si>
  <si>
    <t>Less Ship Log Uncollectable:</t>
  </si>
  <si>
    <t>= Total Forecast Amount:</t>
  </si>
  <si>
    <t>Low #</t>
  </si>
  <si>
    <t>PLUS Extra:</t>
  </si>
  <si>
    <t>High #</t>
  </si>
  <si>
    <t>AR Other Than N30 Total:</t>
  </si>
  <si>
    <t>Aging Total (less I/C):</t>
  </si>
  <si>
    <t>Percent of  Other than N30 to Aging Total:</t>
  </si>
  <si>
    <t>Forecasted Amount</t>
  </si>
  <si>
    <t>Percent of Forecast to Aging Total:</t>
  </si>
  <si>
    <t>A/R Cash Forecast</t>
  </si>
  <si>
    <t>Fcst</t>
  </si>
  <si>
    <t>3rd Party Gross Sales</t>
  </si>
  <si>
    <t>Forecast Achieved</t>
  </si>
  <si>
    <t>Business Name</t>
  </si>
  <si>
    <t>A</t>
  </si>
  <si>
    <t>Total AR balance</t>
  </si>
  <si>
    <t>B</t>
  </si>
  <si>
    <t>Minus Futures (future and current balance)</t>
  </si>
  <si>
    <t>C</t>
  </si>
  <si>
    <t>Minus 90+ balance</t>
  </si>
  <si>
    <t>Minus 5% delution (calculated on A-B-C)</t>
  </si>
  <si>
    <t>Plus CIA expected during the month</t>
  </si>
  <si>
    <t>Net Cash to collect</t>
  </si>
  <si>
    <t>x 85% (collection efficiency)</t>
  </si>
  <si>
    <t>Plus Cash from 90+ balance expected for the month</t>
  </si>
  <si>
    <t>Minus disputed invoices</t>
  </si>
  <si>
    <t>Monthly forecast in EURO</t>
  </si>
  <si>
    <t xml:space="preserve">Exchange rate </t>
  </si>
  <si>
    <t>Monthly forecast in USD</t>
  </si>
  <si>
    <t>HFM Entity 1</t>
  </si>
  <si>
    <t>HFM Entity 2</t>
  </si>
  <si>
    <t>HFM Entity 3</t>
  </si>
  <si>
    <t>HFM Entity 4</t>
  </si>
  <si>
    <t>HFM Entity 5</t>
  </si>
  <si>
    <t>Top XX customer collections + bucket projection</t>
  </si>
  <si>
    <t>Customer 1</t>
  </si>
  <si>
    <t>Customer 5</t>
  </si>
  <si>
    <t>Customer 6</t>
  </si>
  <si>
    <t>Customer 2</t>
  </si>
  <si>
    <t>Customer 3</t>
  </si>
  <si>
    <t>Customer 4</t>
  </si>
  <si>
    <t>Group</t>
  </si>
  <si>
    <t>Customer 7</t>
  </si>
  <si>
    <t>Customer 8</t>
  </si>
  <si>
    <t>Customer 9</t>
  </si>
  <si>
    <t>Customer 10</t>
  </si>
  <si>
    <t>Customer 11</t>
  </si>
  <si>
    <t>Customer 12</t>
  </si>
  <si>
    <t>Customer 13</t>
  </si>
  <si>
    <t>Customer 14</t>
  </si>
  <si>
    <t>Customer 15</t>
  </si>
  <si>
    <t>Customer 16</t>
  </si>
  <si>
    <t>Customer 17</t>
  </si>
  <si>
    <t>Customer 18</t>
  </si>
  <si>
    <t>Customer 19</t>
  </si>
  <si>
    <t>Customer 20</t>
  </si>
  <si>
    <t>Customer 21</t>
  </si>
  <si>
    <t>Customer 22</t>
  </si>
  <si>
    <t>Customer 23</t>
  </si>
  <si>
    <t>Customer 24</t>
  </si>
  <si>
    <t>Customer 25</t>
  </si>
  <si>
    <t>Customer 26</t>
  </si>
  <si>
    <t>Customer 27</t>
  </si>
  <si>
    <t>Customer 28</t>
  </si>
  <si>
    <t>Customer 29</t>
  </si>
  <si>
    <t>Customer 30</t>
  </si>
  <si>
    <t>Customer 31</t>
  </si>
  <si>
    <t>Customer 32</t>
  </si>
  <si>
    <t>Customer 33</t>
  </si>
  <si>
    <t>Customer 34</t>
  </si>
  <si>
    <t>Customer 35</t>
  </si>
  <si>
    <t>Customer 36</t>
  </si>
  <si>
    <t>Customer 37</t>
  </si>
  <si>
    <t>Customer 38</t>
  </si>
  <si>
    <t>Customer 39</t>
  </si>
  <si>
    <t>Customer 40</t>
  </si>
  <si>
    <t>Customer 41</t>
  </si>
  <si>
    <t>Customer 42</t>
  </si>
  <si>
    <t>Customer 43</t>
  </si>
  <si>
    <t>Customer 44</t>
  </si>
  <si>
    <t>Customer 45</t>
  </si>
  <si>
    <t>Customer 46</t>
  </si>
  <si>
    <t>Customer 47</t>
  </si>
  <si>
    <t>Customer 48</t>
  </si>
  <si>
    <t>Customer 49</t>
  </si>
  <si>
    <t>Customer 50</t>
  </si>
  <si>
    <t>Customer 51</t>
  </si>
  <si>
    <t>Customer 52</t>
  </si>
  <si>
    <t>Customer 53</t>
  </si>
  <si>
    <t>Customer 54</t>
  </si>
  <si>
    <t>Customer 55</t>
  </si>
  <si>
    <t>Customer 56</t>
  </si>
  <si>
    <t>Customer 57</t>
  </si>
  <si>
    <t>Customer 58</t>
  </si>
  <si>
    <t>Customer 59</t>
  </si>
  <si>
    <t>Customer 60</t>
  </si>
  <si>
    <t>Customer 61</t>
  </si>
  <si>
    <t>Customer 62</t>
  </si>
  <si>
    <t>Customer 63</t>
  </si>
  <si>
    <t>Customer 64</t>
  </si>
  <si>
    <t>Customer 65</t>
  </si>
  <si>
    <t>Customer 66</t>
  </si>
  <si>
    <t>Customer 67</t>
  </si>
  <si>
    <t>Customer 68</t>
  </si>
  <si>
    <t>Customer 69</t>
  </si>
  <si>
    <t>Customer 70</t>
  </si>
  <si>
    <t>Customer 71</t>
  </si>
  <si>
    <t>Customer 72</t>
  </si>
  <si>
    <t>Customer 73</t>
  </si>
  <si>
    <t>Customer 74</t>
  </si>
  <si>
    <t>Customer 75</t>
  </si>
  <si>
    <t>Customer 76</t>
  </si>
  <si>
    <t>Customer 77</t>
  </si>
  <si>
    <t>Customer 78</t>
  </si>
  <si>
    <t>Customer 79</t>
  </si>
  <si>
    <t>Customer 80</t>
  </si>
  <si>
    <t>Customer 81</t>
  </si>
  <si>
    <t>Customer 82</t>
  </si>
  <si>
    <t>Customer 83</t>
  </si>
  <si>
    <t>Customer 84</t>
  </si>
  <si>
    <t>Customer 85</t>
  </si>
  <si>
    <t>Customer 86</t>
  </si>
  <si>
    <t>Customer 87</t>
  </si>
  <si>
    <t>Customer 88</t>
  </si>
  <si>
    <t>Customer 89</t>
  </si>
  <si>
    <t>Availability model</t>
  </si>
  <si>
    <t>% of Beginning AR Model - can be swapped out for Historic % of "Available" collected vs. % of Beginning AR</t>
  </si>
  <si>
    <t>Curr Year 2025</t>
  </si>
  <si>
    <t>Prev Year 2024</t>
  </si>
  <si>
    <t>Year: 2025</t>
  </si>
  <si>
    <t>Net 30: 12/20/2025</t>
  </si>
  <si>
    <t xml:space="preserve">Net 60: 11/20/2025       </t>
  </si>
  <si>
    <t xml:space="preserve">I/H 45: 12/12/2025  </t>
  </si>
  <si>
    <t xml:space="preserve">Net 75: 11/03/2025   </t>
  </si>
  <si>
    <t xml:space="preserve">Net 45: 12/05/2025 </t>
  </si>
  <si>
    <t xml:space="preserve">GE Med: 10/27/2025    </t>
  </si>
  <si>
    <t xml:space="preserve">I/H 55: 12/01/2025  </t>
  </si>
  <si>
    <t>Net 45EOM: 11/30/2025</t>
  </si>
  <si>
    <t xml:space="preserve">I/H 60: 11/27/2025       </t>
  </si>
  <si>
    <t>Total ShipLog (12/21-12/2025):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</si>
</sst>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66" formatCode="[$-409]mmm\-yy;@"/>
    <numFmt numFmtId="167" formatCode="&quot;$&quot;#,##0.0"/>
    <numFmt numFmtId="168" formatCode="_(* #,##0_);_(* \(#,##0\);_(* &quot;-&quot;??_);_(@_)"/>
    <numFmt numFmtId="169" formatCode="&quot;$&quot;#,##0.00"/>
    <numFmt numFmtId="170" formatCode="m/d;@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9"/>
      <color indexed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12"/>
      <name val="Calibri"/>
      <family val="2"/>
      <scheme val="minor"/>
    </font>
    <font>
      <b/>
      <u/>
      <sz val="9"/>
      <color indexed="12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12"/>
      <name val="Calibri"/>
      <family val="2"/>
      <scheme val="minor"/>
    </font>
    <font>
      <sz val="9"/>
      <color indexed="63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indexed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0" fontId="4" fillId="0" borderId="0" xfId="0" applyFont="1"/>
    <xf numFmtId="0" fontId="4" fillId="8" borderId="0" xfId="0" applyFont="1" applyFill="1"/>
    <xf numFmtId="17" fontId="4" fillId="8" borderId="0" xfId="0" applyNumberFormat="1" applyFont="1" applyFill="1"/>
    <xf numFmtId="165" fontId="4" fillId="0" borderId="0" xfId="0" applyNumberFormat="1" applyFont="1"/>
    <xf numFmtId="164" fontId="4" fillId="0" borderId="0" xfId="0" applyNumberFormat="1" applyFont="1"/>
    <xf numFmtId="0" fontId="4" fillId="3" borderId="0" xfId="0" applyFont="1" applyFill="1"/>
    <xf numFmtId="0" fontId="5" fillId="11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168" fontId="4" fillId="0" borderId="0" xfId="0" applyNumberFormat="1" applyFont="1"/>
    <xf numFmtId="168" fontId="5" fillId="7" borderId="0" xfId="0" applyNumberFormat="1" applyFont="1" applyFill="1"/>
    <xf numFmtId="168" fontId="4" fillId="0" borderId="0" xfId="1" applyNumberFormat="1" applyFont="1"/>
    <xf numFmtId="0" fontId="5" fillId="8" borderId="0" xfId="0" applyFont="1" applyFill="1"/>
    <xf numFmtId="38" fontId="5" fillId="8" borderId="0" xfId="0" applyNumberFormat="1" applyFont="1" applyFill="1"/>
    <xf numFmtId="38" fontId="5" fillId="7" borderId="0" xfId="0" applyNumberFormat="1" applyFont="1" applyFill="1"/>
    <xf numFmtId="43" fontId="4" fillId="0" borderId="0" xfId="0" applyNumberFormat="1" applyFont="1"/>
    <xf numFmtId="0" fontId="4" fillId="9" borderId="0" xfId="0" applyFont="1" applyFill="1" applyAlignment="1">
      <alignment horizontal="center"/>
    </xf>
    <xf numFmtId="0" fontId="4" fillId="10" borderId="0" xfId="0" applyFont="1" applyFill="1" applyAlignment="1">
      <alignment horizontal="center"/>
    </xf>
    <xf numFmtId="17" fontId="4" fillId="0" borderId="0" xfId="0" applyNumberFormat="1" applyFont="1" applyAlignment="1">
      <alignment horizontal="center"/>
    </xf>
    <xf numFmtId="165" fontId="4" fillId="9" borderId="0" xfId="0" applyNumberFormat="1" applyFont="1" applyFill="1"/>
    <xf numFmtId="167" fontId="4" fillId="0" borderId="0" xfId="0" applyNumberFormat="1" applyFont="1"/>
    <xf numFmtId="165" fontId="4" fillId="10" borderId="0" xfId="0" applyNumberFormat="1" applyFont="1" applyFill="1"/>
    <xf numFmtId="9" fontId="4" fillId="9" borderId="0" xfId="0" applyNumberFormat="1" applyFont="1" applyFill="1"/>
    <xf numFmtId="0" fontId="6" fillId="0" borderId="0" xfId="0" applyFont="1" applyProtection="1">
      <protection locked="0"/>
    </xf>
    <xf numFmtId="49" fontId="6" fillId="0" borderId="1" xfId="0" applyNumberFormat="1" applyFont="1" applyBorder="1" applyAlignment="1" applyProtection="1">
      <alignment horizontal="left"/>
      <protection locked="0"/>
    </xf>
    <xf numFmtId="0" fontId="6" fillId="0" borderId="1" xfId="0" applyFont="1" applyBorder="1" applyProtection="1">
      <protection locked="0"/>
    </xf>
    <xf numFmtId="44" fontId="4" fillId="0" borderId="0" xfId="0" applyNumberFormat="1" applyFont="1"/>
    <xf numFmtId="49" fontId="6" fillId="0" borderId="3" xfId="0" applyNumberFormat="1" applyFont="1" applyBorder="1" applyAlignment="1" applyProtection="1">
      <alignment horizontal="left"/>
      <protection locked="0"/>
    </xf>
    <xf numFmtId="170" fontId="6" fillId="0" borderId="0" xfId="0" applyNumberFormat="1" applyFont="1" applyProtection="1">
      <protection locked="0"/>
    </xf>
    <xf numFmtId="49" fontId="6" fillId="0" borderId="4" xfId="0" applyNumberFormat="1" applyFont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49" fontId="6" fillId="0" borderId="0" xfId="0" applyNumberFormat="1" applyFont="1" applyAlignment="1" applyProtection="1">
      <alignment horizontal="left"/>
      <protection locked="0"/>
    </xf>
    <xf numFmtId="170" fontId="6" fillId="0" borderId="5" xfId="0" applyNumberFormat="1" applyFont="1" applyBorder="1" applyProtection="1">
      <protection locked="0"/>
    </xf>
    <xf numFmtId="170" fontId="6" fillId="0" borderId="6" xfId="0" applyNumberFormat="1" applyFont="1" applyBorder="1" applyProtection="1">
      <protection locked="0"/>
    </xf>
    <xf numFmtId="170" fontId="6" fillId="0" borderId="7" xfId="0" applyNumberFormat="1" applyFont="1" applyBorder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49" fontId="4" fillId="0" borderId="0" xfId="0" applyNumberFormat="1" applyFont="1" applyAlignment="1" applyProtection="1">
      <alignment horizontal="left"/>
      <protection locked="0"/>
    </xf>
    <xf numFmtId="44" fontId="4" fillId="0" borderId="0" xfId="0" applyNumberFormat="1" applyFont="1" applyAlignment="1">
      <alignment horizontal="center"/>
    </xf>
    <xf numFmtId="14" fontId="6" fillId="0" borderId="1" xfId="0" applyNumberFormat="1" applyFont="1" applyBorder="1" applyProtection="1">
      <protection locked="0"/>
    </xf>
    <xf numFmtId="44" fontId="6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44" fontId="4" fillId="0" borderId="0" xfId="2" applyFont="1"/>
    <xf numFmtId="44" fontId="4" fillId="0" borderId="0" xfId="2" applyFont="1" applyFill="1"/>
    <xf numFmtId="44" fontId="4" fillId="0" borderId="0" xfId="2" applyFont="1" applyBorder="1"/>
    <xf numFmtId="0" fontId="6" fillId="0" borderId="8" xfId="0" applyFont="1" applyBorder="1" applyProtection="1">
      <protection locked="0"/>
    </xf>
    <xf numFmtId="49" fontId="6" fillId="0" borderId="8" xfId="0" applyNumberFormat="1" applyFont="1" applyBorder="1" applyAlignment="1" applyProtection="1">
      <alignment horizontal="left"/>
      <protection locked="0"/>
    </xf>
    <xf numFmtId="44" fontId="6" fillId="0" borderId="9" xfId="2" applyFont="1" applyBorder="1"/>
    <xf numFmtId="0" fontId="6" fillId="0" borderId="0" xfId="0" applyFont="1"/>
    <xf numFmtId="44" fontId="6" fillId="0" borderId="0" xfId="2" applyFont="1"/>
    <xf numFmtId="8" fontId="4" fillId="0" borderId="0" xfId="2" applyNumberFormat="1" applyFont="1" applyBorder="1"/>
    <xf numFmtId="169" fontId="4" fillId="0" borderId="0" xfId="0" applyNumberFormat="1" applyFont="1" applyAlignment="1" applyProtection="1">
      <alignment horizontal="right"/>
      <protection locked="0"/>
    </xf>
    <xf numFmtId="169" fontId="4" fillId="0" borderId="1" xfId="0" applyNumberFormat="1" applyFont="1" applyBorder="1" applyAlignment="1" applyProtection="1">
      <alignment horizontal="right"/>
      <protection locked="0"/>
    </xf>
    <xf numFmtId="49" fontId="6" fillId="0" borderId="0" xfId="0" applyNumberFormat="1" applyFont="1" applyProtection="1">
      <protection locked="0"/>
    </xf>
    <xf numFmtId="169" fontId="4" fillId="0" borderId="10" xfId="0" applyNumberFormat="1" applyFont="1" applyBorder="1" applyAlignment="1" applyProtection="1">
      <alignment horizontal="right"/>
      <protection locked="0"/>
    </xf>
    <xf numFmtId="49" fontId="4" fillId="0" borderId="0" xfId="0" applyNumberFormat="1" applyFont="1" applyProtection="1">
      <protection locked="0"/>
    </xf>
    <xf numFmtId="169" fontId="6" fillId="0" borderId="0" xfId="0" applyNumberFormat="1" applyFont="1" applyAlignment="1" applyProtection="1">
      <alignment horizontal="right"/>
      <protection locked="0"/>
    </xf>
    <xf numFmtId="169" fontId="4" fillId="3" borderId="0" xfId="0" applyNumberFormat="1" applyFont="1" applyFill="1" applyAlignment="1" applyProtection="1">
      <alignment horizontal="right"/>
      <protection locked="0"/>
    </xf>
    <xf numFmtId="169" fontId="4" fillId="0" borderId="0" xfId="0" applyNumberFormat="1" applyFont="1" applyAlignment="1" applyProtection="1">
      <alignment horizontal="left"/>
      <protection locked="0"/>
    </xf>
    <xf numFmtId="44" fontId="4" fillId="0" borderId="1" xfId="0" applyNumberFormat="1" applyFont="1" applyBorder="1" applyAlignment="1" applyProtection="1">
      <alignment horizontal="left"/>
      <protection locked="0"/>
    </xf>
    <xf numFmtId="44" fontId="6" fillId="3" borderId="0" xfId="0" applyNumberFormat="1" applyFont="1" applyFill="1" applyAlignment="1" applyProtection="1">
      <alignment horizontal="left"/>
      <protection locked="0"/>
    </xf>
    <xf numFmtId="44" fontId="4" fillId="0" borderId="0" xfId="0" applyNumberFormat="1" applyFont="1" applyAlignment="1" applyProtection="1">
      <alignment horizontal="left"/>
      <protection locked="0"/>
    </xf>
    <xf numFmtId="10" fontId="6" fillId="0" borderId="0" xfId="0" applyNumberFormat="1" applyFont="1" applyAlignment="1" applyProtection="1">
      <alignment horizontal="right"/>
      <protection locked="0"/>
    </xf>
    <xf numFmtId="44" fontId="4" fillId="0" borderId="0" xfId="2" applyFont="1" applyFill="1" applyBorder="1" applyAlignment="1" applyProtection="1">
      <alignment horizontal="right"/>
      <protection locked="0"/>
    </xf>
    <xf numFmtId="169" fontId="4" fillId="0" borderId="1" xfId="2" applyNumberFormat="1" applyFont="1" applyFill="1" applyBorder="1" applyAlignment="1" applyProtection="1">
      <alignment horizontal="right"/>
      <protection locked="0"/>
    </xf>
    <xf numFmtId="0" fontId="7" fillId="0" borderId="0" xfId="0" applyFont="1"/>
    <xf numFmtId="166" fontId="4" fillId="0" borderId="0" xfId="0" applyNumberFormat="1" applyFont="1" applyAlignment="1">
      <alignment horizontal="center"/>
    </xf>
    <xf numFmtId="0" fontId="4" fillId="10" borderId="0" xfId="0" applyFont="1" applyFill="1"/>
    <xf numFmtId="16" fontId="4" fillId="0" borderId="0" xfId="0" quotePrefix="1" applyNumberFormat="1" applyFont="1"/>
    <xf numFmtId="0" fontId="4" fillId="0" borderId="0" xfId="0" quotePrefix="1" applyFont="1"/>
    <xf numFmtId="0" fontId="6" fillId="10" borderId="0" xfId="0" applyFont="1" applyFill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4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38" fontId="4" fillId="4" borderId="0" xfId="2" applyNumberFormat="1" applyFont="1" applyFill="1"/>
    <xf numFmtId="0" fontId="4" fillId="4" borderId="0" xfId="0" applyFont="1" applyFill="1"/>
    <xf numFmtId="6" fontId="10" fillId="9" borderId="0" xfId="0" applyNumberFormat="1" applyFont="1" applyFill="1"/>
    <xf numFmtId="6" fontId="4" fillId="9" borderId="0" xfId="0" applyNumberFormat="1" applyFont="1" applyFill="1"/>
    <xf numFmtId="6" fontId="11" fillId="9" borderId="0" xfId="0" applyNumberFormat="1" applyFont="1" applyFill="1"/>
    <xf numFmtId="6" fontId="11" fillId="3" borderId="0" xfId="0" applyNumberFormat="1" applyFont="1" applyFill="1"/>
    <xf numFmtId="6" fontId="4" fillId="4" borderId="0" xfId="0" applyNumberFormat="1" applyFont="1" applyFill="1"/>
    <xf numFmtId="6" fontId="4" fillId="0" borderId="0" xfId="0" applyNumberFormat="1" applyFont="1"/>
    <xf numFmtId="6" fontId="12" fillId="0" borderId="0" xfId="0" applyNumberFormat="1" applyFont="1"/>
    <xf numFmtId="6" fontId="10" fillId="0" borderId="0" xfId="0" applyNumberFormat="1" applyFont="1"/>
    <xf numFmtId="6" fontId="11" fillId="0" borderId="0" xfId="0" applyNumberFormat="1" applyFont="1"/>
    <xf numFmtId="6" fontId="4" fillId="10" borderId="0" xfId="0" applyNumberFormat="1" applyFont="1" applyFill="1"/>
    <xf numFmtId="6" fontId="6" fillId="10" borderId="0" xfId="0" applyNumberFormat="1" applyFont="1" applyFill="1"/>
    <xf numFmtId="6" fontId="4" fillId="5" borderId="0" xfId="0" applyNumberFormat="1" applyFont="1" applyFill="1"/>
    <xf numFmtId="6" fontId="4" fillId="9" borderId="1" xfId="0" applyNumberFormat="1" applyFont="1" applyFill="1" applyBorder="1"/>
    <xf numFmtId="6" fontId="4" fillId="3" borderId="1" xfId="0" applyNumberFormat="1" applyFont="1" applyFill="1" applyBorder="1"/>
    <xf numFmtId="164" fontId="4" fillId="4" borderId="0" xfId="0" applyNumberFormat="1" applyFont="1" applyFill="1"/>
    <xf numFmtId="6" fontId="4" fillId="3" borderId="0" xfId="0" applyNumberFormat="1" applyFont="1" applyFill="1"/>
    <xf numFmtId="0" fontId="13" fillId="6" borderId="0" xfId="0" applyFont="1" applyFill="1"/>
    <xf numFmtId="0" fontId="4" fillId="9" borderId="2" xfId="0" applyFont="1" applyFill="1" applyBorder="1"/>
    <xf numFmtId="0" fontId="4" fillId="9" borderId="0" xfId="0" applyFont="1" applyFill="1"/>
    <xf numFmtId="0" fontId="4" fillId="12" borderId="0" xfId="0" applyFont="1" applyFill="1"/>
    <xf numFmtId="3" fontId="4" fillId="12" borderId="0" xfId="0" applyNumberFormat="1" applyFont="1" applyFill="1"/>
    <xf numFmtId="3" fontId="4" fillId="0" borderId="0" xfId="0" applyNumberFormat="1" applyFont="1"/>
    <xf numFmtId="17" fontId="4" fillId="2" borderId="0" xfId="0" applyNumberFormat="1" applyFont="1" applyFill="1"/>
    <xf numFmtId="0" fontId="14" fillId="0" borderId="0" xfId="0" applyFont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N17"/>
  <sheetViews>
    <sheetView tabSelected="1" zoomScale="140" zoomScaleNormal="140" workbookViewId="0">
      <selection activeCell="M21" sqref="M21"/>
    </sheetView>
  </sheetViews>
  <sheetFormatPr defaultColWidth="9.140625" defaultRowHeight="12" x14ac:dyDescent="0.2"/>
  <cols>
    <col min="1" max="1" width="16.140625" style="2" customWidth="1"/>
    <col min="2" max="2" width="16.85546875" style="2" bestFit="1" customWidth="1"/>
    <col min="3" max="3" width="8.28515625" style="2" bestFit="1" customWidth="1"/>
    <col min="4" max="14" width="8" style="2" bestFit="1" customWidth="1"/>
    <col min="15" max="16384" width="9.140625" style="2"/>
  </cols>
  <sheetData>
    <row r="1" spans="1:14" x14ac:dyDescent="0.2">
      <c r="A1" s="1" t="s">
        <v>347</v>
      </c>
    </row>
    <row r="3" spans="1:14" x14ac:dyDescent="0.2">
      <c r="A3" s="3" t="s">
        <v>348</v>
      </c>
      <c r="B3" s="3"/>
      <c r="C3" s="4">
        <v>45658</v>
      </c>
      <c r="D3" s="4">
        <v>45689</v>
      </c>
      <c r="E3" s="4">
        <v>45717</v>
      </c>
      <c r="F3" s="4">
        <v>45748</v>
      </c>
      <c r="G3" s="4">
        <v>45778</v>
      </c>
      <c r="H3" s="4">
        <v>45809</v>
      </c>
      <c r="I3" s="4">
        <v>45839</v>
      </c>
      <c r="J3" s="4">
        <v>45870</v>
      </c>
      <c r="K3" s="4">
        <v>45901</v>
      </c>
      <c r="L3" s="4">
        <v>45931</v>
      </c>
      <c r="M3" s="4">
        <v>45962</v>
      </c>
      <c r="N3" s="4">
        <v>45992</v>
      </c>
    </row>
    <row r="4" spans="1:14" s="5" customFormat="1" x14ac:dyDescent="0.2">
      <c r="B4" s="5" t="s">
        <v>2</v>
      </c>
      <c r="C4" s="5">
        <v>43412</v>
      </c>
    </row>
    <row r="5" spans="1:14" s="5" customFormat="1" x14ac:dyDescent="0.2">
      <c r="B5" s="5" t="s">
        <v>0</v>
      </c>
      <c r="C5" s="5">
        <v>10400</v>
      </c>
    </row>
    <row r="6" spans="1:14" s="6" customFormat="1" x14ac:dyDescent="0.2">
      <c r="B6" s="6" t="s">
        <v>1</v>
      </c>
      <c r="C6" s="6">
        <f>C5/C4</f>
        <v>0.2395650972081452</v>
      </c>
      <c r="D6" s="6" t="e">
        <f t="shared" ref="D6:N6" si="0">D5/D4</f>
        <v>#DIV/0!</v>
      </c>
      <c r="E6" s="6" t="e">
        <f t="shared" si="0"/>
        <v>#DIV/0!</v>
      </c>
      <c r="F6" s="6" t="e">
        <f t="shared" si="0"/>
        <v>#DIV/0!</v>
      </c>
      <c r="G6" s="6" t="e">
        <f t="shared" si="0"/>
        <v>#DIV/0!</v>
      </c>
      <c r="H6" s="6" t="e">
        <f t="shared" si="0"/>
        <v>#DIV/0!</v>
      </c>
      <c r="I6" s="6" t="e">
        <f t="shared" si="0"/>
        <v>#DIV/0!</v>
      </c>
      <c r="J6" s="6" t="e">
        <f t="shared" si="0"/>
        <v>#DIV/0!</v>
      </c>
      <c r="K6" s="6" t="e">
        <f t="shared" si="0"/>
        <v>#DIV/0!</v>
      </c>
      <c r="L6" s="6" t="e">
        <f t="shared" si="0"/>
        <v>#DIV/0!</v>
      </c>
      <c r="M6" s="6" t="e">
        <f t="shared" si="0"/>
        <v>#DIV/0!</v>
      </c>
      <c r="N6" s="6" t="e">
        <f t="shared" si="0"/>
        <v>#DIV/0!</v>
      </c>
    </row>
    <row r="7" spans="1:14" ht="4.5" customHeigh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x14ac:dyDescent="0.2">
      <c r="A8" s="3" t="s">
        <v>349</v>
      </c>
      <c r="B8" s="3"/>
      <c r="C8" s="4">
        <v>45292</v>
      </c>
      <c r="D8" s="4">
        <v>45323</v>
      </c>
      <c r="E8" s="4">
        <v>38412</v>
      </c>
      <c r="F8" s="4">
        <v>45383</v>
      </c>
      <c r="G8" s="4">
        <v>45413</v>
      </c>
      <c r="H8" s="4">
        <v>45444</v>
      </c>
      <c r="I8" s="4">
        <v>45474</v>
      </c>
      <c r="J8" s="4">
        <v>45505</v>
      </c>
      <c r="K8" s="4">
        <v>45536</v>
      </c>
      <c r="L8" s="4">
        <v>45566</v>
      </c>
      <c r="M8" s="4">
        <v>45597</v>
      </c>
      <c r="N8" s="4">
        <v>45627</v>
      </c>
    </row>
    <row r="9" spans="1:14" s="5" customFormat="1" x14ac:dyDescent="0.2">
      <c r="B9" s="5" t="s">
        <v>2</v>
      </c>
      <c r="C9" s="5">
        <v>37999</v>
      </c>
    </row>
    <row r="10" spans="1:14" s="5" customFormat="1" x14ac:dyDescent="0.2">
      <c r="B10" s="5" t="s">
        <v>0</v>
      </c>
      <c r="C10" s="5">
        <v>9500</v>
      </c>
    </row>
    <row r="11" spans="1:14" s="6" customFormat="1" ht="12" customHeight="1" x14ac:dyDescent="0.2">
      <c r="B11" s="6" t="s">
        <v>1</v>
      </c>
      <c r="C11" s="6">
        <f t="shared" ref="C11:N11" si="1">C10/C9</f>
        <v>0.25000657912050317</v>
      </c>
      <c r="D11" s="6" t="e">
        <f t="shared" si="1"/>
        <v>#DIV/0!</v>
      </c>
      <c r="E11" s="6" t="e">
        <f t="shared" si="1"/>
        <v>#DIV/0!</v>
      </c>
      <c r="F11" s="6" t="e">
        <f t="shared" si="1"/>
        <v>#DIV/0!</v>
      </c>
      <c r="G11" s="6" t="e">
        <f t="shared" si="1"/>
        <v>#DIV/0!</v>
      </c>
      <c r="H11" s="6" t="e">
        <f t="shared" si="1"/>
        <v>#DIV/0!</v>
      </c>
      <c r="I11" s="6" t="e">
        <f t="shared" si="1"/>
        <v>#DIV/0!</v>
      </c>
      <c r="J11" s="6" t="e">
        <f t="shared" si="1"/>
        <v>#DIV/0!</v>
      </c>
      <c r="K11" s="6" t="e">
        <f t="shared" si="1"/>
        <v>#DIV/0!</v>
      </c>
      <c r="L11" s="6" t="e">
        <f t="shared" si="1"/>
        <v>#DIV/0!</v>
      </c>
      <c r="M11" s="6" t="e">
        <f t="shared" si="1"/>
        <v>#DIV/0!</v>
      </c>
      <c r="N11" s="6" t="e">
        <f t="shared" si="1"/>
        <v>#DIV/0!</v>
      </c>
    </row>
    <row r="12" spans="1:1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4" spans="1:14" x14ac:dyDescent="0.2">
      <c r="A14" s="2" t="s">
        <v>3</v>
      </c>
    </row>
    <row r="15" spans="1:14" s="6" customFormat="1" x14ac:dyDescent="0.2">
      <c r="A15" s="6" t="s">
        <v>4</v>
      </c>
      <c r="C15" s="6">
        <f>C6-C11</f>
        <v>-1.0441481912357969E-2</v>
      </c>
      <c r="D15" s="6" t="e">
        <f t="shared" ref="D15:N15" si="2">D6-D11</f>
        <v>#DIV/0!</v>
      </c>
      <c r="E15" s="6" t="e">
        <f t="shared" si="2"/>
        <v>#DIV/0!</v>
      </c>
      <c r="F15" s="6" t="e">
        <f t="shared" si="2"/>
        <v>#DIV/0!</v>
      </c>
      <c r="G15" s="6" t="e">
        <f t="shared" si="2"/>
        <v>#DIV/0!</v>
      </c>
      <c r="H15" s="6" t="e">
        <f t="shared" si="2"/>
        <v>#DIV/0!</v>
      </c>
      <c r="I15" s="6" t="e">
        <f t="shared" si="2"/>
        <v>#DIV/0!</v>
      </c>
      <c r="J15" s="6" t="e">
        <f t="shared" si="2"/>
        <v>#DIV/0!</v>
      </c>
      <c r="K15" s="6" t="e">
        <f t="shared" si="2"/>
        <v>#DIV/0!</v>
      </c>
      <c r="L15" s="6" t="e">
        <f t="shared" si="2"/>
        <v>#DIV/0!</v>
      </c>
      <c r="M15" s="6" t="e">
        <f t="shared" si="2"/>
        <v>#DIV/0!</v>
      </c>
      <c r="N15" s="6" t="e">
        <f t="shared" si="2"/>
        <v>#DIV/0!</v>
      </c>
    </row>
    <row r="16" spans="1:14" x14ac:dyDescent="0.2">
      <c r="B16" s="2" t="s">
        <v>5</v>
      </c>
    </row>
    <row r="17" spans="2:2" x14ac:dyDescent="0.2">
      <c r="B17" s="2" t="s">
        <v>6</v>
      </c>
    </row>
  </sheetData>
  <phoneticPr fontId="2" type="noConversion"/>
  <pageMargins left="0.75" right="0.75" top="1" bottom="1" header="0.5" footer="0.5"/>
  <pageSetup orientation="landscape" r:id="rId1"/>
  <headerFooter alignWithMargins="0">
    <oddHeader>&amp;C&amp;14PERCENT % OF BEGINNING AR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-0.249977111117893"/>
  </sheetPr>
  <dimension ref="B2:I24"/>
  <sheetViews>
    <sheetView zoomScale="150" zoomScaleNormal="150" workbookViewId="0">
      <selection activeCell="E24" sqref="E24"/>
    </sheetView>
  </sheetViews>
  <sheetFormatPr defaultColWidth="8.85546875" defaultRowHeight="12" x14ac:dyDescent="0.2"/>
  <cols>
    <col min="1" max="1" width="2.5703125" style="2" customWidth="1"/>
    <col min="2" max="2" width="3.28515625" style="2" customWidth="1"/>
    <col min="3" max="3" width="47.42578125" style="2" bestFit="1" customWidth="1"/>
    <col min="4" max="5" width="17.42578125" style="2" bestFit="1" customWidth="1"/>
    <col min="6" max="6" width="17" style="2" bestFit="1" customWidth="1"/>
    <col min="7" max="7" width="17.7109375" style="2" bestFit="1" customWidth="1"/>
    <col min="8" max="8" width="18.7109375" style="2" bestFit="1" customWidth="1"/>
    <col min="9" max="9" width="15" style="2" bestFit="1" customWidth="1"/>
    <col min="10" max="16384" width="8.85546875" style="2"/>
  </cols>
  <sheetData>
    <row r="2" spans="2:9" x14ac:dyDescent="0.2">
      <c r="D2" s="8" t="s">
        <v>250</v>
      </c>
      <c r="E2" s="8" t="s">
        <v>251</v>
      </c>
      <c r="F2" s="8" t="s">
        <v>252</v>
      </c>
      <c r="G2" s="8" t="s">
        <v>253</v>
      </c>
      <c r="H2" s="8" t="s">
        <v>254</v>
      </c>
    </row>
    <row r="3" spans="2:9" x14ac:dyDescent="0.2">
      <c r="B3" s="9" t="s">
        <v>235</v>
      </c>
      <c r="C3" s="2" t="s">
        <v>236</v>
      </c>
      <c r="D3" s="10">
        <v>861886.76000000013</v>
      </c>
      <c r="E3" s="10">
        <v>5740159.5599999931</v>
      </c>
      <c r="F3" s="10">
        <v>2774967.5099999979</v>
      </c>
      <c r="G3" s="10">
        <v>635551.34060138022</v>
      </c>
      <c r="H3" s="10">
        <v>3173896.103280996</v>
      </c>
      <c r="I3" s="11">
        <f>SUM(D3:H3)*$D$13</f>
        <v>14522249.80092665</v>
      </c>
    </row>
    <row r="4" spans="2:9" x14ac:dyDescent="0.2">
      <c r="B4" s="9" t="s">
        <v>237</v>
      </c>
      <c r="C4" s="2" t="s">
        <v>238</v>
      </c>
      <c r="D4" s="10">
        <v>22056.37</v>
      </c>
      <c r="E4" s="10">
        <v>570265.56999999983</v>
      </c>
      <c r="F4" s="10">
        <v>694884.50000000023</v>
      </c>
      <c r="G4" s="10">
        <v>15923.255272532466</v>
      </c>
      <c r="H4" s="10">
        <v>405064.96116611641</v>
      </c>
    </row>
    <row r="5" spans="2:9" x14ac:dyDescent="0.2">
      <c r="B5" s="9" t="s">
        <v>239</v>
      </c>
      <c r="C5" s="2" t="s">
        <v>240</v>
      </c>
      <c r="D5" s="10">
        <v>631291.27</v>
      </c>
      <c r="E5" s="10">
        <v>1215173.6099999999</v>
      </c>
      <c r="F5" s="10">
        <v>341824.51000000007</v>
      </c>
      <c r="G5" s="10">
        <v>26251.538249114681</v>
      </c>
      <c r="H5" s="10">
        <v>391995.37713178241</v>
      </c>
    </row>
    <row r="6" spans="2:9" x14ac:dyDescent="0.2">
      <c r="C6" s="2" t="s">
        <v>241</v>
      </c>
      <c r="D6" s="10">
        <f t="shared" ref="D6:H6" si="0">0.05*(D3-D4-D5)</f>
        <v>10426.956000000006</v>
      </c>
      <c r="E6" s="10">
        <f t="shared" si="0"/>
        <v>197736.01899999965</v>
      </c>
      <c r="F6" s="10">
        <f>0.05*(F3-F4-F5)</f>
        <v>86912.924999999886</v>
      </c>
      <c r="G6" s="10">
        <f>0.05*(G3-G4-G5)</f>
        <v>29668.827353986657</v>
      </c>
      <c r="H6" s="10">
        <f t="shared" si="0"/>
        <v>118841.78824915487</v>
      </c>
    </row>
    <row r="7" spans="2:9" x14ac:dyDescent="0.2">
      <c r="C7" s="2" t="s">
        <v>242</v>
      </c>
      <c r="D7" s="10"/>
      <c r="E7" s="10"/>
      <c r="F7" s="10"/>
      <c r="G7" s="10"/>
      <c r="H7" s="10"/>
    </row>
    <row r="8" spans="2:9" x14ac:dyDescent="0.2">
      <c r="C8" s="2" t="s">
        <v>243</v>
      </c>
      <c r="D8" s="10">
        <f t="shared" ref="D8:H8" si="1">D3-D4-D5-D6-+D7</f>
        <v>198112.16400000011</v>
      </c>
      <c r="E8" s="10">
        <f t="shared" si="1"/>
        <v>3756984.360999993</v>
      </c>
      <c r="F8" s="10">
        <f>F3-F4-F5-F6-+F7</f>
        <v>1651345.5749999979</v>
      </c>
      <c r="G8" s="10">
        <f>G3-G4-G5-G6-+G7</f>
        <v>563707.71972574643</v>
      </c>
      <c r="H8" s="10">
        <f t="shared" si="1"/>
        <v>2257993.9767339421</v>
      </c>
    </row>
    <row r="9" spans="2:9" x14ac:dyDescent="0.2">
      <c r="C9" s="2" t="s">
        <v>244</v>
      </c>
      <c r="D9" s="10">
        <f t="shared" ref="D9:H9" si="2">D8*0.85</f>
        <v>168395.33940000008</v>
      </c>
      <c r="E9" s="10">
        <f t="shared" si="2"/>
        <v>3193436.7068499941</v>
      </c>
      <c r="F9" s="10">
        <f t="shared" si="2"/>
        <v>1403643.7387499982</v>
      </c>
      <c r="G9" s="10">
        <f t="shared" si="2"/>
        <v>479151.56176688446</v>
      </c>
      <c r="H9" s="10">
        <f t="shared" si="2"/>
        <v>1919294.8802238507</v>
      </c>
    </row>
    <row r="10" spans="2:9" x14ac:dyDescent="0.2">
      <c r="C10" s="2" t="s">
        <v>245</v>
      </c>
      <c r="D10" s="10"/>
      <c r="E10" s="10"/>
      <c r="F10" s="10"/>
      <c r="G10" s="10"/>
      <c r="H10" s="10"/>
    </row>
    <row r="11" spans="2:9" x14ac:dyDescent="0.2">
      <c r="C11" s="2" t="s">
        <v>246</v>
      </c>
      <c r="D11" s="10"/>
      <c r="E11" s="12">
        <f>260150+180877.53+108183.63+440385.34</f>
        <v>989596.5</v>
      </c>
      <c r="F11" s="10"/>
      <c r="G11" s="10"/>
      <c r="H11" s="10">
        <f>1147356.6+27239.37+83197+40425.76</f>
        <v>1298218.7300000002</v>
      </c>
    </row>
    <row r="12" spans="2:9" x14ac:dyDescent="0.2">
      <c r="C12" s="13" t="s">
        <v>247</v>
      </c>
      <c r="D12" s="14">
        <f t="shared" ref="D12:H12" si="3">D9+D10-D11</f>
        <v>168395.33940000008</v>
      </c>
      <c r="E12" s="14">
        <f>E9+E10-E11</f>
        <v>2203840.2068499941</v>
      </c>
      <c r="F12" s="14">
        <f t="shared" si="3"/>
        <v>1403643.7387499982</v>
      </c>
      <c r="G12" s="14">
        <f t="shared" si="3"/>
        <v>479151.56176688446</v>
      </c>
      <c r="H12" s="14">
        <f t="shared" si="3"/>
        <v>621076.15022385051</v>
      </c>
    </row>
    <row r="13" spans="2:9" x14ac:dyDescent="0.2">
      <c r="C13" s="2" t="s">
        <v>248</v>
      </c>
      <c r="D13" s="2">
        <v>1.1012999999999999</v>
      </c>
    </row>
    <row r="14" spans="2:9" x14ac:dyDescent="0.2">
      <c r="C14" s="13" t="s">
        <v>249</v>
      </c>
      <c r="D14" s="14">
        <f>D12*$D$13</f>
        <v>185453.78728122008</v>
      </c>
      <c r="E14" s="14">
        <f>E12*$D$13</f>
        <v>2427089.2198038986</v>
      </c>
      <c r="F14" s="14">
        <f>F12*$D$13</f>
        <v>1545832.8494853729</v>
      </c>
      <c r="G14" s="14">
        <f>G12*$D$13</f>
        <v>527689.61497386987</v>
      </c>
      <c r="H14" s="14">
        <f>H12*$D$13</f>
        <v>683991.16424152651</v>
      </c>
      <c r="I14" s="15">
        <f>SUM(D14:H14)</f>
        <v>5370056.6357858879</v>
      </c>
    </row>
    <row r="20" spans="5:7" x14ac:dyDescent="0.2">
      <c r="E20" s="10"/>
    </row>
    <row r="21" spans="5:7" x14ac:dyDescent="0.2">
      <c r="E21" s="16"/>
    </row>
    <row r="23" spans="5:7" x14ac:dyDescent="0.2">
      <c r="G23" s="10"/>
    </row>
    <row r="24" spans="5:7" x14ac:dyDescent="0.2">
      <c r="G24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Q6"/>
  <sheetViews>
    <sheetView zoomScale="170" zoomScaleNormal="170" workbookViewId="0">
      <selection activeCell="L14" sqref="L14"/>
    </sheetView>
  </sheetViews>
  <sheetFormatPr defaultColWidth="9.140625" defaultRowHeight="12" x14ac:dyDescent="0.2"/>
  <cols>
    <col min="1" max="1" width="15" style="2" bestFit="1" customWidth="1"/>
    <col min="2" max="4" width="7.5703125" style="2" hidden="1" customWidth="1"/>
    <col min="5" max="5" width="7.7109375" style="2" customWidth="1"/>
    <col min="6" max="17" width="7.5703125" style="2" bestFit="1" customWidth="1"/>
    <col min="18" max="16384" width="9.140625" style="2"/>
  </cols>
  <sheetData>
    <row r="1" spans="1:17" x14ac:dyDescent="0.2">
      <c r="A1" s="1" t="s">
        <v>20</v>
      </c>
    </row>
    <row r="3" spans="1:17" x14ac:dyDescent="0.2">
      <c r="A3" s="3" t="s">
        <v>348</v>
      </c>
      <c r="B3" s="4">
        <v>38231</v>
      </c>
      <c r="C3" s="4">
        <v>38261</v>
      </c>
      <c r="D3" s="4">
        <v>38292</v>
      </c>
      <c r="E3" s="4">
        <v>45627</v>
      </c>
      <c r="F3" s="4">
        <v>45658</v>
      </c>
      <c r="G3" s="4">
        <v>45689</v>
      </c>
      <c r="H3" s="4">
        <v>45717</v>
      </c>
      <c r="I3" s="4">
        <v>45748</v>
      </c>
      <c r="J3" s="4">
        <v>45778</v>
      </c>
      <c r="K3" s="4">
        <v>45809</v>
      </c>
      <c r="L3" s="4">
        <v>45839</v>
      </c>
      <c r="M3" s="4">
        <v>45870</v>
      </c>
      <c r="N3" s="4">
        <v>45901</v>
      </c>
      <c r="O3" s="4">
        <v>45931</v>
      </c>
      <c r="P3" s="4">
        <v>45962</v>
      </c>
      <c r="Q3" s="4">
        <v>45992</v>
      </c>
    </row>
    <row r="4" spans="1:17" s="5" customFormat="1" x14ac:dyDescent="0.2">
      <c r="A4" s="5" t="s">
        <v>7</v>
      </c>
      <c r="B4" s="5">
        <v>24750</v>
      </c>
      <c r="C4" s="5">
        <v>25900</v>
      </c>
      <c r="D4" s="5">
        <v>23800</v>
      </c>
      <c r="E4" s="5">
        <v>22000</v>
      </c>
      <c r="F4" s="5">
        <v>23418</v>
      </c>
      <c r="G4" s="5">
        <v>25000</v>
      </c>
      <c r="H4" s="5">
        <v>27000</v>
      </c>
      <c r="I4" s="5">
        <v>22519</v>
      </c>
      <c r="J4" s="5">
        <v>24500</v>
      </c>
      <c r="K4" s="5">
        <v>26000</v>
      </c>
      <c r="L4" s="5">
        <v>25500</v>
      </c>
      <c r="M4" s="5">
        <v>28000</v>
      </c>
      <c r="N4" s="5">
        <v>27600</v>
      </c>
    </row>
    <row r="6" spans="1:17" s="5" customFormat="1" x14ac:dyDescent="0.2">
      <c r="A6" s="5" t="s">
        <v>8</v>
      </c>
      <c r="F6" s="5">
        <f t="shared" ref="F6:Q6" si="0">(E4+D4+C4+B4)/4</f>
        <v>24112.5</v>
      </c>
      <c r="G6" s="5">
        <f t="shared" si="0"/>
        <v>23779.5</v>
      </c>
      <c r="H6" s="5">
        <f t="shared" si="0"/>
        <v>23554.5</v>
      </c>
      <c r="I6" s="5">
        <f t="shared" si="0"/>
        <v>24354.5</v>
      </c>
      <c r="J6" s="5">
        <f t="shared" si="0"/>
        <v>24484.25</v>
      </c>
      <c r="K6" s="5">
        <f t="shared" si="0"/>
        <v>24754.75</v>
      </c>
      <c r="L6" s="5">
        <f t="shared" si="0"/>
        <v>25004.75</v>
      </c>
      <c r="M6" s="5">
        <f t="shared" si="0"/>
        <v>24629.75</v>
      </c>
      <c r="N6" s="5">
        <f t="shared" si="0"/>
        <v>26000</v>
      </c>
      <c r="O6" s="5">
        <f t="shared" si="0"/>
        <v>26775</v>
      </c>
      <c r="P6" s="5">
        <f t="shared" si="0"/>
        <v>20275</v>
      </c>
      <c r="Q6" s="5">
        <f t="shared" si="0"/>
        <v>13900</v>
      </c>
    </row>
  </sheetData>
  <phoneticPr fontId="2" type="noConversion"/>
  <pageMargins left="0.25" right="0.2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</sheetPr>
  <dimension ref="A1:K66"/>
  <sheetViews>
    <sheetView zoomScale="150" zoomScaleNormal="150" workbookViewId="0">
      <selection activeCell="M58" sqref="M58"/>
    </sheetView>
  </sheetViews>
  <sheetFormatPr defaultColWidth="9.140625" defaultRowHeight="12" x14ac:dyDescent="0.2"/>
  <cols>
    <col min="1" max="1" width="9.140625" style="2"/>
    <col min="2" max="2" width="13.42578125" style="2" bestFit="1" customWidth="1"/>
    <col min="3" max="7" width="9.140625" style="2"/>
    <col min="8" max="8" width="13.42578125" style="2" bestFit="1" customWidth="1"/>
    <col min="9" max="16384" width="9.140625" style="2"/>
  </cols>
  <sheetData>
    <row r="1" spans="1:11" x14ac:dyDescent="0.2">
      <c r="A1" s="1" t="s">
        <v>21</v>
      </c>
    </row>
    <row r="3" spans="1:11" x14ac:dyDescent="0.2">
      <c r="A3" s="2" t="s">
        <v>37</v>
      </c>
      <c r="B3" s="103">
        <v>45658</v>
      </c>
      <c r="G3" s="2" t="s">
        <v>37</v>
      </c>
      <c r="H3" s="103">
        <v>45689</v>
      </c>
    </row>
    <row r="4" spans="1:11" x14ac:dyDescent="0.2">
      <c r="B4" s="2" t="s">
        <v>38</v>
      </c>
      <c r="C4" s="2" t="s">
        <v>39</v>
      </c>
      <c r="D4" s="2" t="s">
        <v>40</v>
      </c>
      <c r="E4" s="2" t="s">
        <v>43</v>
      </c>
      <c r="H4" s="2" t="s">
        <v>38</v>
      </c>
      <c r="I4" s="2" t="s">
        <v>39</v>
      </c>
      <c r="J4" s="2" t="s">
        <v>40</v>
      </c>
      <c r="K4" s="2" t="s">
        <v>43</v>
      </c>
    </row>
    <row r="5" spans="1:11" x14ac:dyDescent="0.2">
      <c r="B5" s="2" t="s">
        <v>41</v>
      </c>
      <c r="C5" s="5"/>
      <c r="D5" s="6">
        <v>0</v>
      </c>
      <c r="E5" s="5">
        <f t="shared" ref="E5:E10" si="0">C5*D5</f>
        <v>0</v>
      </c>
      <c r="H5" s="2" t="s">
        <v>41</v>
      </c>
      <c r="I5" s="5"/>
      <c r="J5" s="6">
        <v>0</v>
      </c>
      <c r="K5" s="5">
        <f t="shared" ref="K5:K10" si="1">I5*J5</f>
        <v>0</v>
      </c>
    </row>
    <row r="6" spans="1:11" x14ac:dyDescent="0.2">
      <c r="B6" s="2" t="s">
        <v>30</v>
      </c>
      <c r="C6" s="5"/>
      <c r="D6" s="6"/>
      <c r="E6" s="5">
        <f t="shared" si="0"/>
        <v>0</v>
      </c>
      <c r="H6" s="2" t="s">
        <v>30</v>
      </c>
      <c r="I6" s="5"/>
      <c r="J6" s="6"/>
      <c r="K6" s="5">
        <f t="shared" si="1"/>
        <v>0</v>
      </c>
    </row>
    <row r="7" spans="1:11" x14ac:dyDescent="0.2">
      <c r="B7" s="70" t="s">
        <v>31</v>
      </c>
      <c r="C7" s="5"/>
      <c r="D7" s="6"/>
      <c r="E7" s="5">
        <f t="shared" si="0"/>
        <v>0</v>
      </c>
      <c r="H7" s="70" t="s">
        <v>31</v>
      </c>
      <c r="I7" s="5"/>
      <c r="J7" s="6"/>
      <c r="K7" s="5">
        <f t="shared" si="1"/>
        <v>0</v>
      </c>
    </row>
    <row r="8" spans="1:11" x14ac:dyDescent="0.2">
      <c r="B8" s="70" t="s">
        <v>32</v>
      </c>
      <c r="C8" s="5"/>
      <c r="D8" s="6"/>
      <c r="E8" s="5">
        <f t="shared" si="0"/>
        <v>0</v>
      </c>
      <c r="H8" s="70" t="s">
        <v>32</v>
      </c>
      <c r="I8" s="5"/>
      <c r="J8" s="6"/>
      <c r="K8" s="5">
        <f t="shared" si="1"/>
        <v>0</v>
      </c>
    </row>
    <row r="9" spans="1:11" x14ac:dyDescent="0.2">
      <c r="B9" s="70" t="s">
        <v>33</v>
      </c>
      <c r="C9" s="5"/>
      <c r="D9" s="6"/>
      <c r="E9" s="5">
        <f t="shared" si="0"/>
        <v>0</v>
      </c>
      <c r="H9" s="70" t="s">
        <v>33</v>
      </c>
      <c r="I9" s="5"/>
      <c r="J9" s="6"/>
      <c r="K9" s="5">
        <f t="shared" si="1"/>
        <v>0</v>
      </c>
    </row>
    <row r="10" spans="1:11" x14ac:dyDescent="0.2">
      <c r="B10" s="2" t="s">
        <v>34</v>
      </c>
      <c r="C10" s="5"/>
      <c r="D10" s="6"/>
      <c r="E10" s="5">
        <f t="shared" si="0"/>
        <v>0</v>
      </c>
      <c r="H10" s="2" t="s">
        <v>34</v>
      </c>
      <c r="I10" s="5"/>
      <c r="J10" s="6"/>
      <c r="K10" s="5">
        <f t="shared" si="1"/>
        <v>0</v>
      </c>
    </row>
    <row r="11" spans="1:11" x14ac:dyDescent="0.2">
      <c r="B11" s="2" t="s">
        <v>42</v>
      </c>
      <c r="C11" s="5">
        <f>SUM(C5:C10)</f>
        <v>0</v>
      </c>
      <c r="E11" s="5">
        <f>SUM(E5:E10)</f>
        <v>0</v>
      </c>
      <c r="H11" s="2" t="s">
        <v>42</v>
      </c>
      <c r="I11" s="5">
        <f>SUM(I5:I10)</f>
        <v>0</v>
      </c>
      <c r="K11" s="5">
        <f>SUM(K5:K10)</f>
        <v>0</v>
      </c>
    </row>
    <row r="14" spans="1:11" x14ac:dyDescent="0.2">
      <c r="A14" s="2" t="s">
        <v>37</v>
      </c>
      <c r="B14" s="103">
        <v>45717</v>
      </c>
      <c r="G14" s="2" t="s">
        <v>37</v>
      </c>
      <c r="H14" s="103">
        <v>45748</v>
      </c>
    </row>
    <row r="15" spans="1:11" x14ac:dyDescent="0.2">
      <c r="B15" s="2" t="s">
        <v>38</v>
      </c>
      <c r="C15" s="2" t="s">
        <v>39</v>
      </c>
      <c r="D15" s="2" t="s">
        <v>40</v>
      </c>
      <c r="E15" s="2" t="s">
        <v>43</v>
      </c>
      <c r="H15" s="2" t="s">
        <v>38</v>
      </c>
      <c r="I15" s="2" t="s">
        <v>39</v>
      </c>
      <c r="J15" s="2" t="s">
        <v>40</v>
      </c>
      <c r="K15" s="2" t="s">
        <v>43</v>
      </c>
    </row>
    <row r="16" spans="1:11" x14ac:dyDescent="0.2">
      <c r="B16" s="2" t="s">
        <v>41</v>
      </c>
      <c r="C16" s="5"/>
      <c r="D16" s="6">
        <v>0</v>
      </c>
      <c r="E16" s="5">
        <f t="shared" ref="E16:E21" si="2">C16*D16</f>
        <v>0</v>
      </c>
      <c r="H16" s="2" t="s">
        <v>41</v>
      </c>
      <c r="I16" s="5"/>
      <c r="J16" s="6">
        <v>0</v>
      </c>
      <c r="K16" s="5">
        <f t="shared" ref="K16:K21" si="3">I16*J16</f>
        <v>0</v>
      </c>
    </row>
    <row r="17" spans="1:11" x14ac:dyDescent="0.2">
      <c r="B17" s="2" t="s">
        <v>30</v>
      </c>
      <c r="C17" s="5"/>
      <c r="D17" s="6"/>
      <c r="E17" s="5">
        <f t="shared" si="2"/>
        <v>0</v>
      </c>
      <c r="H17" s="2" t="s">
        <v>30</v>
      </c>
      <c r="I17" s="5"/>
      <c r="J17" s="6"/>
      <c r="K17" s="5">
        <f t="shared" si="3"/>
        <v>0</v>
      </c>
    </row>
    <row r="18" spans="1:11" x14ac:dyDescent="0.2">
      <c r="B18" s="70" t="s">
        <v>31</v>
      </c>
      <c r="C18" s="5"/>
      <c r="D18" s="6"/>
      <c r="E18" s="5">
        <f t="shared" si="2"/>
        <v>0</v>
      </c>
      <c r="H18" s="70" t="s">
        <v>31</v>
      </c>
      <c r="I18" s="5"/>
      <c r="J18" s="6"/>
      <c r="K18" s="5">
        <f t="shared" si="3"/>
        <v>0</v>
      </c>
    </row>
    <row r="19" spans="1:11" x14ac:dyDescent="0.2">
      <c r="B19" s="70" t="s">
        <v>32</v>
      </c>
      <c r="C19" s="5"/>
      <c r="D19" s="6"/>
      <c r="E19" s="5">
        <f t="shared" si="2"/>
        <v>0</v>
      </c>
      <c r="H19" s="70" t="s">
        <v>32</v>
      </c>
      <c r="I19" s="5"/>
      <c r="J19" s="6"/>
      <c r="K19" s="5">
        <f t="shared" si="3"/>
        <v>0</v>
      </c>
    </row>
    <row r="20" spans="1:11" x14ac:dyDescent="0.2">
      <c r="B20" s="70" t="s">
        <v>33</v>
      </c>
      <c r="C20" s="5"/>
      <c r="D20" s="6"/>
      <c r="E20" s="5">
        <f t="shared" si="2"/>
        <v>0</v>
      </c>
      <c r="H20" s="70" t="s">
        <v>33</v>
      </c>
      <c r="I20" s="5"/>
      <c r="J20" s="6"/>
      <c r="K20" s="5">
        <f t="shared" si="3"/>
        <v>0</v>
      </c>
    </row>
    <row r="21" spans="1:11" x14ac:dyDescent="0.2">
      <c r="B21" s="2" t="s">
        <v>34</v>
      </c>
      <c r="C21" s="5"/>
      <c r="D21" s="6"/>
      <c r="E21" s="5">
        <f t="shared" si="2"/>
        <v>0</v>
      </c>
      <c r="H21" s="2" t="s">
        <v>34</v>
      </c>
      <c r="I21" s="5"/>
      <c r="J21" s="6"/>
      <c r="K21" s="5">
        <f t="shared" si="3"/>
        <v>0</v>
      </c>
    </row>
    <row r="22" spans="1:11" x14ac:dyDescent="0.2">
      <c r="B22" s="2" t="s">
        <v>42</v>
      </c>
      <c r="C22" s="5">
        <f>SUM(C16:C21)</f>
        <v>0</v>
      </c>
      <c r="E22" s="5">
        <f>SUM(E16:E21)</f>
        <v>0</v>
      </c>
      <c r="H22" s="2" t="s">
        <v>42</v>
      </c>
      <c r="I22" s="5">
        <f>SUM(I16:I21)</f>
        <v>0</v>
      </c>
      <c r="K22" s="5">
        <f>SUM(K16:K21)</f>
        <v>0</v>
      </c>
    </row>
    <row r="25" spans="1:11" x14ac:dyDescent="0.2">
      <c r="A25" s="2" t="s">
        <v>37</v>
      </c>
      <c r="B25" s="103">
        <v>45778</v>
      </c>
      <c r="G25" s="2" t="s">
        <v>37</v>
      </c>
      <c r="H25" s="103">
        <v>45809</v>
      </c>
    </row>
    <row r="26" spans="1:11" x14ac:dyDescent="0.2">
      <c r="B26" s="2" t="s">
        <v>38</v>
      </c>
      <c r="C26" s="2" t="s">
        <v>39</v>
      </c>
      <c r="D26" s="2" t="s">
        <v>40</v>
      </c>
      <c r="E26" s="2" t="s">
        <v>43</v>
      </c>
      <c r="H26" s="2" t="s">
        <v>38</v>
      </c>
      <c r="I26" s="2" t="s">
        <v>39</v>
      </c>
      <c r="J26" s="2" t="s">
        <v>40</v>
      </c>
      <c r="K26" s="2" t="s">
        <v>43</v>
      </c>
    </row>
    <row r="27" spans="1:11" x14ac:dyDescent="0.2">
      <c r="B27" s="2" t="s">
        <v>41</v>
      </c>
      <c r="C27" s="5"/>
      <c r="D27" s="6">
        <v>0</v>
      </c>
      <c r="E27" s="5">
        <f t="shared" ref="E27:E32" si="4">C27*D27</f>
        <v>0</v>
      </c>
      <c r="H27" s="2" t="s">
        <v>41</v>
      </c>
      <c r="I27" s="5"/>
      <c r="J27" s="6">
        <v>0</v>
      </c>
      <c r="K27" s="5">
        <f t="shared" ref="K27:K32" si="5">I27*J27</f>
        <v>0</v>
      </c>
    </row>
    <row r="28" spans="1:11" x14ac:dyDescent="0.2">
      <c r="B28" s="2" t="s">
        <v>30</v>
      </c>
      <c r="C28" s="5"/>
      <c r="D28" s="6"/>
      <c r="E28" s="5">
        <f t="shared" si="4"/>
        <v>0</v>
      </c>
      <c r="H28" s="2" t="s">
        <v>30</v>
      </c>
      <c r="I28" s="5"/>
      <c r="J28" s="6"/>
      <c r="K28" s="5">
        <f t="shared" si="5"/>
        <v>0</v>
      </c>
    </row>
    <row r="29" spans="1:11" x14ac:dyDescent="0.2">
      <c r="B29" s="70" t="s">
        <v>31</v>
      </c>
      <c r="C29" s="5"/>
      <c r="D29" s="6"/>
      <c r="E29" s="5">
        <f t="shared" si="4"/>
        <v>0</v>
      </c>
      <c r="H29" s="70" t="s">
        <v>31</v>
      </c>
      <c r="I29" s="5"/>
      <c r="J29" s="6"/>
      <c r="K29" s="5">
        <f t="shared" si="5"/>
        <v>0</v>
      </c>
    </row>
    <row r="30" spans="1:11" x14ac:dyDescent="0.2">
      <c r="B30" s="70" t="s">
        <v>32</v>
      </c>
      <c r="C30" s="5"/>
      <c r="D30" s="6"/>
      <c r="E30" s="5">
        <f t="shared" si="4"/>
        <v>0</v>
      </c>
      <c r="H30" s="70" t="s">
        <v>32</v>
      </c>
      <c r="I30" s="5"/>
      <c r="J30" s="6"/>
      <c r="K30" s="5">
        <f t="shared" si="5"/>
        <v>0</v>
      </c>
    </row>
    <row r="31" spans="1:11" x14ac:dyDescent="0.2">
      <c r="B31" s="70" t="s">
        <v>33</v>
      </c>
      <c r="C31" s="5"/>
      <c r="D31" s="6"/>
      <c r="E31" s="5">
        <f t="shared" si="4"/>
        <v>0</v>
      </c>
      <c r="H31" s="70" t="s">
        <v>33</v>
      </c>
      <c r="I31" s="5"/>
      <c r="J31" s="6"/>
      <c r="K31" s="5">
        <f t="shared" si="5"/>
        <v>0</v>
      </c>
    </row>
    <row r="32" spans="1:11" x14ac:dyDescent="0.2">
      <c r="B32" s="2" t="s">
        <v>34</v>
      </c>
      <c r="C32" s="5"/>
      <c r="D32" s="6"/>
      <c r="E32" s="5">
        <f t="shared" si="4"/>
        <v>0</v>
      </c>
      <c r="H32" s="2" t="s">
        <v>34</v>
      </c>
      <c r="I32" s="5"/>
      <c r="J32" s="6"/>
      <c r="K32" s="5">
        <f t="shared" si="5"/>
        <v>0</v>
      </c>
    </row>
    <row r="33" spans="1:11" x14ac:dyDescent="0.2">
      <c r="B33" s="2" t="s">
        <v>42</v>
      </c>
      <c r="C33" s="5">
        <f>SUM(C27:C32)</f>
        <v>0</v>
      </c>
      <c r="E33" s="5">
        <f>SUM(E27:E32)</f>
        <v>0</v>
      </c>
      <c r="H33" s="2" t="s">
        <v>42</v>
      </c>
      <c r="I33" s="5">
        <f>SUM(I27:I32)</f>
        <v>0</v>
      </c>
      <c r="K33" s="5">
        <f>SUM(K27:K32)</f>
        <v>0</v>
      </c>
    </row>
    <row r="36" spans="1:11" x14ac:dyDescent="0.2">
      <c r="A36" s="2" t="s">
        <v>37</v>
      </c>
      <c r="B36" s="103">
        <v>45839</v>
      </c>
      <c r="G36" s="2" t="s">
        <v>37</v>
      </c>
      <c r="H36" s="103">
        <v>45870</v>
      </c>
    </row>
    <row r="37" spans="1:11" x14ac:dyDescent="0.2">
      <c r="B37" s="2" t="s">
        <v>38</v>
      </c>
      <c r="C37" s="2" t="s">
        <v>39</v>
      </c>
      <c r="D37" s="2" t="s">
        <v>40</v>
      </c>
      <c r="E37" s="2" t="s">
        <v>43</v>
      </c>
      <c r="H37" s="2" t="s">
        <v>38</v>
      </c>
      <c r="I37" s="2" t="s">
        <v>39</v>
      </c>
      <c r="J37" s="2" t="s">
        <v>40</v>
      </c>
      <c r="K37" s="2" t="s">
        <v>43</v>
      </c>
    </row>
    <row r="38" spans="1:11" x14ac:dyDescent="0.2">
      <c r="B38" s="2" t="s">
        <v>41</v>
      </c>
      <c r="C38" s="5"/>
      <c r="D38" s="6">
        <v>0</v>
      </c>
      <c r="E38" s="5">
        <f t="shared" ref="E38:E43" si="6">C38*D38</f>
        <v>0</v>
      </c>
      <c r="H38" s="2" t="s">
        <v>41</v>
      </c>
      <c r="I38" s="5"/>
      <c r="J38" s="6">
        <v>0</v>
      </c>
      <c r="K38" s="5">
        <f t="shared" ref="K38:K43" si="7">I38*J38</f>
        <v>0</v>
      </c>
    </row>
    <row r="39" spans="1:11" x14ac:dyDescent="0.2">
      <c r="B39" s="2" t="s">
        <v>30</v>
      </c>
      <c r="C39" s="5"/>
      <c r="D39" s="6"/>
      <c r="E39" s="5">
        <f t="shared" si="6"/>
        <v>0</v>
      </c>
      <c r="H39" s="2" t="s">
        <v>30</v>
      </c>
      <c r="I39" s="5"/>
      <c r="J39" s="6"/>
      <c r="K39" s="5">
        <f t="shared" si="7"/>
        <v>0</v>
      </c>
    </row>
    <row r="40" spans="1:11" x14ac:dyDescent="0.2">
      <c r="B40" s="70" t="s">
        <v>31</v>
      </c>
      <c r="C40" s="5"/>
      <c r="D40" s="6"/>
      <c r="E40" s="5">
        <f t="shared" si="6"/>
        <v>0</v>
      </c>
      <c r="H40" s="70" t="s">
        <v>31</v>
      </c>
      <c r="I40" s="5"/>
      <c r="J40" s="6"/>
      <c r="K40" s="5">
        <f t="shared" si="7"/>
        <v>0</v>
      </c>
    </row>
    <row r="41" spans="1:11" x14ac:dyDescent="0.2">
      <c r="B41" s="70" t="s">
        <v>32</v>
      </c>
      <c r="C41" s="5"/>
      <c r="D41" s="6"/>
      <c r="E41" s="5">
        <f t="shared" si="6"/>
        <v>0</v>
      </c>
      <c r="H41" s="70" t="s">
        <v>32</v>
      </c>
      <c r="I41" s="5"/>
      <c r="J41" s="6"/>
      <c r="K41" s="5">
        <f t="shared" si="7"/>
        <v>0</v>
      </c>
    </row>
    <row r="42" spans="1:11" x14ac:dyDescent="0.2">
      <c r="B42" s="70" t="s">
        <v>33</v>
      </c>
      <c r="C42" s="5"/>
      <c r="D42" s="6"/>
      <c r="E42" s="5">
        <f t="shared" si="6"/>
        <v>0</v>
      </c>
      <c r="H42" s="70" t="s">
        <v>33</v>
      </c>
      <c r="I42" s="5"/>
      <c r="J42" s="6"/>
      <c r="K42" s="5">
        <f t="shared" si="7"/>
        <v>0</v>
      </c>
    </row>
    <row r="43" spans="1:11" x14ac:dyDescent="0.2">
      <c r="B43" s="2" t="s">
        <v>34</v>
      </c>
      <c r="C43" s="5"/>
      <c r="D43" s="6"/>
      <c r="E43" s="5">
        <f t="shared" si="6"/>
        <v>0</v>
      </c>
      <c r="H43" s="2" t="s">
        <v>34</v>
      </c>
      <c r="I43" s="5"/>
      <c r="J43" s="6"/>
      <c r="K43" s="5">
        <f t="shared" si="7"/>
        <v>0</v>
      </c>
    </row>
    <row r="44" spans="1:11" x14ac:dyDescent="0.2">
      <c r="B44" s="2" t="s">
        <v>42</v>
      </c>
      <c r="C44" s="5">
        <f>SUM(C38:C43)</f>
        <v>0</v>
      </c>
      <c r="E44" s="5">
        <f>SUM(E38:E43)</f>
        <v>0</v>
      </c>
      <c r="H44" s="2" t="s">
        <v>42</v>
      </c>
      <c r="I44" s="5">
        <f>SUM(I38:I43)</f>
        <v>0</v>
      </c>
      <c r="K44" s="5">
        <f>SUM(K38:K43)</f>
        <v>0</v>
      </c>
    </row>
    <row r="47" spans="1:11" x14ac:dyDescent="0.2">
      <c r="A47" s="2" t="s">
        <v>37</v>
      </c>
      <c r="B47" s="103">
        <v>45901</v>
      </c>
      <c r="C47" s="104"/>
      <c r="G47" s="2" t="s">
        <v>37</v>
      </c>
      <c r="H47" s="103">
        <v>45931</v>
      </c>
    </row>
    <row r="48" spans="1:11" x14ac:dyDescent="0.2">
      <c r="B48" s="2" t="s">
        <v>38</v>
      </c>
      <c r="C48" s="2" t="s">
        <v>39</v>
      </c>
      <c r="D48" s="2" t="s">
        <v>40</v>
      </c>
      <c r="E48" s="2" t="s">
        <v>43</v>
      </c>
      <c r="H48" s="2" t="s">
        <v>38</v>
      </c>
      <c r="I48" s="2" t="s">
        <v>39</v>
      </c>
      <c r="J48" s="2" t="s">
        <v>40</v>
      </c>
      <c r="K48" s="2" t="s">
        <v>43</v>
      </c>
    </row>
    <row r="49" spans="1:11" x14ac:dyDescent="0.2">
      <c r="B49" s="2" t="s">
        <v>41</v>
      </c>
      <c r="C49" s="5"/>
      <c r="D49" s="6">
        <v>0</v>
      </c>
      <c r="E49" s="5">
        <f t="shared" ref="E49:E54" si="8">C49*D49</f>
        <v>0</v>
      </c>
      <c r="H49" s="2" t="s">
        <v>41</v>
      </c>
      <c r="I49" s="5"/>
      <c r="J49" s="6">
        <v>0</v>
      </c>
      <c r="K49" s="5">
        <f t="shared" ref="K49:K54" si="9">I49*J49</f>
        <v>0</v>
      </c>
    </row>
    <row r="50" spans="1:11" x14ac:dyDescent="0.2">
      <c r="B50" s="2" t="s">
        <v>30</v>
      </c>
      <c r="C50" s="5"/>
      <c r="D50" s="6"/>
      <c r="E50" s="5">
        <f t="shared" si="8"/>
        <v>0</v>
      </c>
      <c r="H50" s="2" t="s">
        <v>30</v>
      </c>
      <c r="I50" s="5"/>
      <c r="J50" s="6"/>
      <c r="K50" s="5">
        <f t="shared" si="9"/>
        <v>0</v>
      </c>
    </row>
    <row r="51" spans="1:11" x14ac:dyDescent="0.2">
      <c r="B51" s="70" t="s">
        <v>31</v>
      </c>
      <c r="C51" s="5"/>
      <c r="D51" s="6"/>
      <c r="E51" s="5">
        <f t="shared" si="8"/>
        <v>0</v>
      </c>
      <c r="H51" s="70" t="s">
        <v>31</v>
      </c>
      <c r="I51" s="5"/>
      <c r="J51" s="6"/>
      <c r="K51" s="5">
        <f t="shared" si="9"/>
        <v>0</v>
      </c>
    </row>
    <row r="52" spans="1:11" x14ac:dyDescent="0.2">
      <c r="B52" s="70" t="s">
        <v>32</v>
      </c>
      <c r="C52" s="5"/>
      <c r="D52" s="6"/>
      <c r="E52" s="5">
        <f t="shared" si="8"/>
        <v>0</v>
      </c>
      <c r="H52" s="70" t="s">
        <v>32</v>
      </c>
      <c r="I52" s="5"/>
      <c r="J52" s="6"/>
      <c r="K52" s="5">
        <f t="shared" si="9"/>
        <v>0</v>
      </c>
    </row>
    <row r="53" spans="1:11" x14ac:dyDescent="0.2">
      <c r="B53" s="70" t="s">
        <v>33</v>
      </c>
      <c r="C53" s="5"/>
      <c r="D53" s="6"/>
      <c r="E53" s="5">
        <f t="shared" si="8"/>
        <v>0</v>
      </c>
      <c r="H53" s="70" t="s">
        <v>33</v>
      </c>
      <c r="I53" s="5"/>
      <c r="J53" s="6"/>
      <c r="K53" s="5">
        <f t="shared" si="9"/>
        <v>0</v>
      </c>
    </row>
    <row r="54" spans="1:11" x14ac:dyDescent="0.2">
      <c r="B54" s="2" t="s">
        <v>34</v>
      </c>
      <c r="C54" s="5"/>
      <c r="D54" s="6"/>
      <c r="E54" s="5">
        <f t="shared" si="8"/>
        <v>0</v>
      </c>
      <c r="H54" s="2" t="s">
        <v>34</v>
      </c>
      <c r="I54" s="5"/>
      <c r="J54" s="6"/>
      <c r="K54" s="5">
        <f t="shared" si="9"/>
        <v>0</v>
      </c>
    </row>
    <row r="55" spans="1:11" x14ac:dyDescent="0.2">
      <c r="B55" s="2" t="s">
        <v>42</v>
      </c>
      <c r="C55" s="5">
        <f>SUM(C49:C54)</f>
        <v>0</v>
      </c>
      <c r="E55" s="5">
        <f>SUM(E49:E54)</f>
        <v>0</v>
      </c>
      <c r="H55" s="2" t="s">
        <v>42</v>
      </c>
      <c r="I55" s="5">
        <f>SUM(I49:I54)</f>
        <v>0</v>
      </c>
      <c r="K55" s="5">
        <f>SUM(K49:K54)</f>
        <v>0</v>
      </c>
    </row>
    <row r="58" spans="1:11" x14ac:dyDescent="0.2">
      <c r="A58" s="2" t="s">
        <v>37</v>
      </c>
      <c r="B58" s="103">
        <v>45962</v>
      </c>
      <c r="G58" s="2" t="s">
        <v>37</v>
      </c>
      <c r="H58" s="103">
        <v>45992</v>
      </c>
    </row>
    <row r="59" spans="1:11" x14ac:dyDescent="0.2">
      <c r="B59" s="2" t="s">
        <v>38</v>
      </c>
      <c r="C59" s="2" t="s">
        <v>39</v>
      </c>
      <c r="D59" s="2" t="s">
        <v>40</v>
      </c>
      <c r="E59" s="2" t="s">
        <v>43</v>
      </c>
      <c r="H59" s="2" t="s">
        <v>38</v>
      </c>
      <c r="I59" s="2" t="s">
        <v>39</v>
      </c>
      <c r="J59" s="2" t="s">
        <v>40</v>
      </c>
      <c r="K59" s="2" t="s">
        <v>43</v>
      </c>
    </row>
    <row r="60" spans="1:11" x14ac:dyDescent="0.2">
      <c r="B60" s="2" t="s">
        <v>41</v>
      </c>
      <c r="C60" s="5"/>
      <c r="D60" s="6">
        <v>0</v>
      </c>
      <c r="E60" s="5">
        <f t="shared" ref="E60:E65" si="10">C60*D60</f>
        <v>0</v>
      </c>
      <c r="H60" s="2" t="s">
        <v>41</v>
      </c>
      <c r="I60" s="5"/>
      <c r="J60" s="6">
        <v>0</v>
      </c>
      <c r="K60" s="5">
        <f t="shared" ref="K60:K65" si="11">I60*J60</f>
        <v>0</v>
      </c>
    </row>
    <row r="61" spans="1:11" x14ac:dyDescent="0.2">
      <c r="B61" s="2" t="s">
        <v>30</v>
      </c>
      <c r="C61" s="5"/>
      <c r="D61" s="6"/>
      <c r="E61" s="5">
        <f t="shared" si="10"/>
        <v>0</v>
      </c>
      <c r="H61" s="2" t="s">
        <v>30</v>
      </c>
      <c r="I61" s="5"/>
      <c r="J61" s="6"/>
      <c r="K61" s="5">
        <f t="shared" si="11"/>
        <v>0</v>
      </c>
    </row>
    <row r="62" spans="1:11" x14ac:dyDescent="0.2">
      <c r="B62" s="70" t="s">
        <v>31</v>
      </c>
      <c r="C62" s="5"/>
      <c r="D62" s="6"/>
      <c r="E62" s="5">
        <f t="shared" si="10"/>
        <v>0</v>
      </c>
      <c r="H62" s="70" t="s">
        <v>31</v>
      </c>
      <c r="I62" s="5"/>
      <c r="J62" s="6"/>
      <c r="K62" s="5">
        <f t="shared" si="11"/>
        <v>0</v>
      </c>
    </row>
    <row r="63" spans="1:11" x14ac:dyDescent="0.2">
      <c r="B63" s="70" t="s">
        <v>32</v>
      </c>
      <c r="C63" s="5"/>
      <c r="D63" s="6"/>
      <c r="E63" s="5">
        <f t="shared" si="10"/>
        <v>0</v>
      </c>
      <c r="H63" s="70" t="s">
        <v>32</v>
      </c>
      <c r="I63" s="5"/>
      <c r="J63" s="6"/>
      <c r="K63" s="5">
        <f t="shared" si="11"/>
        <v>0</v>
      </c>
    </row>
    <row r="64" spans="1:11" x14ac:dyDescent="0.2">
      <c r="B64" s="70" t="s">
        <v>33</v>
      </c>
      <c r="C64" s="5"/>
      <c r="D64" s="6"/>
      <c r="E64" s="5">
        <f t="shared" si="10"/>
        <v>0</v>
      </c>
      <c r="H64" s="70" t="s">
        <v>33</v>
      </c>
      <c r="I64" s="5"/>
      <c r="J64" s="6"/>
      <c r="K64" s="5">
        <f t="shared" si="11"/>
        <v>0</v>
      </c>
    </row>
    <row r="65" spans="2:11" x14ac:dyDescent="0.2">
      <c r="B65" s="2" t="s">
        <v>34</v>
      </c>
      <c r="C65" s="5"/>
      <c r="D65" s="6"/>
      <c r="E65" s="5">
        <f t="shared" si="10"/>
        <v>0</v>
      </c>
      <c r="H65" s="2" t="s">
        <v>34</v>
      </c>
      <c r="I65" s="5"/>
      <c r="J65" s="6"/>
      <c r="K65" s="5">
        <f t="shared" si="11"/>
        <v>0</v>
      </c>
    </row>
    <row r="66" spans="2:11" x14ac:dyDescent="0.2">
      <c r="B66" s="2" t="s">
        <v>42</v>
      </c>
      <c r="C66" s="5">
        <f>SUM(C60:C65)</f>
        <v>0</v>
      </c>
      <c r="E66" s="5">
        <f>SUM(E60:E65)</f>
        <v>0</v>
      </c>
      <c r="H66" s="2" t="s">
        <v>42</v>
      </c>
      <c r="I66" s="5">
        <f>SUM(I60:I65)</f>
        <v>0</v>
      </c>
      <c r="K66" s="5">
        <f>SUM(K60:K65)</f>
        <v>0</v>
      </c>
    </row>
  </sheetData>
  <phoneticPr fontId="2" type="noConversion"/>
  <pageMargins left="0.75" right="0.75" top="0.5" bottom="0.5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499984740745262"/>
  </sheetPr>
  <dimension ref="A1:P13"/>
  <sheetViews>
    <sheetView zoomScale="150" zoomScaleNormal="150" workbookViewId="0">
      <selection activeCell="E3" sqref="E3:P3"/>
    </sheetView>
  </sheetViews>
  <sheetFormatPr defaultColWidth="9.140625" defaultRowHeight="12" x14ac:dyDescent="0.2"/>
  <cols>
    <col min="1" max="1" width="13.5703125" style="2" bestFit="1" customWidth="1"/>
    <col min="2" max="2" width="21.140625" style="2" bestFit="1" customWidth="1"/>
    <col min="3" max="3" width="6.5703125" style="2" bestFit="1" customWidth="1"/>
    <col min="4" max="4" width="6.85546875" style="2" bestFit="1" customWidth="1"/>
    <col min="5" max="5" width="6.42578125" style="2" bestFit="1" customWidth="1"/>
    <col min="6" max="6" width="6.7109375" style="2" bestFit="1" customWidth="1"/>
    <col min="7" max="7" width="7" style="2" customWidth="1"/>
    <col min="8" max="8" width="6.42578125" style="2" bestFit="1" customWidth="1"/>
    <col min="9" max="14" width="7.5703125" style="2" bestFit="1" customWidth="1"/>
    <col min="15" max="15" width="6.5703125" style="2" bestFit="1" customWidth="1"/>
    <col min="16" max="16" width="6.85546875" style="2" bestFit="1" customWidth="1"/>
    <col min="17" max="16384" width="9.140625" style="2"/>
  </cols>
  <sheetData>
    <row r="1" spans="1:16" x14ac:dyDescent="0.2">
      <c r="A1" s="1" t="s">
        <v>22</v>
      </c>
    </row>
    <row r="3" spans="1:16" x14ac:dyDescent="0.2">
      <c r="A3" s="3" t="s">
        <v>348</v>
      </c>
      <c r="B3" s="3"/>
      <c r="C3" s="4">
        <v>45597</v>
      </c>
      <c r="D3" s="4">
        <v>45627</v>
      </c>
      <c r="E3" s="4">
        <v>45658</v>
      </c>
      <c r="F3" s="4">
        <v>45689</v>
      </c>
      <c r="G3" s="4">
        <v>45717</v>
      </c>
      <c r="H3" s="4">
        <v>45748</v>
      </c>
      <c r="I3" s="4">
        <v>45778</v>
      </c>
      <c r="J3" s="4">
        <v>45809</v>
      </c>
      <c r="K3" s="4">
        <v>45839</v>
      </c>
      <c r="L3" s="4">
        <v>45870</v>
      </c>
      <c r="M3" s="4">
        <v>45901</v>
      </c>
      <c r="N3" s="4">
        <v>45931</v>
      </c>
      <c r="O3" s="4">
        <v>45962</v>
      </c>
      <c r="P3" s="4">
        <v>45992</v>
      </c>
    </row>
    <row r="4" spans="1:16" x14ac:dyDescent="0.2">
      <c r="A4" s="2" t="s">
        <v>12</v>
      </c>
      <c r="B4" s="2" t="s">
        <v>9</v>
      </c>
      <c r="C4" s="5"/>
      <c r="D4" s="5"/>
      <c r="E4" s="5"/>
      <c r="F4" s="5"/>
      <c r="G4" s="5"/>
      <c r="H4" s="5"/>
      <c r="I4" s="5">
        <v>26500</v>
      </c>
      <c r="J4" s="5">
        <v>27000</v>
      </c>
      <c r="K4" s="5">
        <v>29000</v>
      </c>
      <c r="L4" s="5">
        <v>27000</v>
      </c>
      <c r="M4" s="5">
        <v>29000</v>
      </c>
      <c r="N4" s="5">
        <v>27000</v>
      </c>
      <c r="O4" s="5"/>
      <c r="P4" s="5"/>
    </row>
    <row r="5" spans="1:16" x14ac:dyDescent="0.2">
      <c r="A5" s="2" t="s">
        <v>12</v>
      </c>
      <c r="B5" s="2" t="s">
        <v>10</v>
      </c>
      <c r="C5" s="5"/>
      <c r="D5" s="5"/>
      <c r="E5" s="5"/>
      <c r="F5" s="5"/>
      <c r="G5" s="5"/>
      <c r="H5" s="5"/>
      <c r="I5" s="5">
        <v>26000</v>
      </c>
      <c r="J5" s="5">
        <v>27000</v>
      </c>
      <c r="K5" s="5">
        <v>28500</v>
      </c>
      <c r="L5" s="5">
        <v>26000</v>
      </c>
      <c r="M5" s="5">
        <v>30000</v>
      </c>
      <c r="N5" s="5"/>
      <c r="O5" s="5"/>
      <c r="P5" s="5"/>
    </row>
    <row r="6" spans="1:16" x14ac:dyDescent="0.2">
      <c r="B6" s="2" t="s">
        <v>11</v>
      </c>
      <c r="I6" s="2">
        <v>40</v>
      </c>
      <c r="J6" s="2">
        <v>40</v>
      </c>
      <c r="K6" s="2">
        <v>40</v>
      </c>
      <c r="L6" s="2">
        <v>40</v>
      </c>
      <c r="M6" s="2">
        <v>40</v>
      </c>
      <c r="N6" s="2">
        <v>40</v>
      </c>
    </row>
    <row r="8" spans="1:16" x14ac:dyDescent="0.2">
      <c r="A8" s="100">
        <v>30</v>
      </c>
      <c r="B8" s="2" t="s">
        <v>13</v>
      </c>
      <c r="C8" s="5"/>
      <c r="D8" s="5"/>
      <c r="E8" s="5"/>
      <c r="F8" s="5"/>
      <c r="G8" s="5"/>
      <c r="H8" s="5"/>
      <c r="I8" s="5"/>
      <c r="J8" s="5"/>
      <c r="K8" s="5"/>
      <c r="L8" s="5">
        <f>L4</f>
        <v>27000</v>
      </c>
      <c r="M8" s="5">
        <f>M4</f>
        <v>29000</v>
      </c>
      <c r="N8" s="5">
        <f>N4</f>
        <v>27000</v>
      </c>
      <c r="O8" s="5">
        <f>O4</f>
        <v>0</v>
      </c>
      <c r="P8" s="5">
        <f>P4</f>
        <v>0</v>
      </c>
    </row>
    <row r="9" spans="1:16" x14ac:dyDescent="0.2">
      <c r="A9" s="100">
        <v>30</v>
      </c>
      <c r="B9" s="2" t="s">
        <v>14</v>
      </c>
      <c r="C9" s="5"/>
      <c r="D9" s="5"/>
      <c r="E9" s="5"/>
      <c r="F9" s="5"/>
      <c r="G9" s="5"/>
      <c r="H9" s="5"/>
      <c r="I9" s="5"/>
      <c r="J9" s="5"/>
      <c r="K9" s="5"/>
      <c r="L9" s="5">
        <f>K5</f>
        <v>28500</v>
      </c>
      <c r="M9" s="5">
        <f>L5</f>
        <v>26000</v>
      </c>
      <c r="N9" s="5">
        <f>M5</f>
        <v>30000</v>
      </c>
      <c r="O9" s="5">
        <f>N5</f>
        <v>0</v>
      </c>
      <c r="P9" s="5">
        <f>O5</f>
        <v>0</v>
      </c>
    </row>
    <row r="10" spans="1:16" s="102" customFormat="1" x14ac:dyDescent="0.2">
      <c r="A10" s="101">
        <v>4</v>
      </c>
      <c r="B10" s="102" t="s">
        <v>15</v>
      </c>
      <c r="C10" s="5"/>
      <c r="D10" s="5"/>
      <c r="E10" s="5"/>
      <c r="F10" s="5"/>
      <c r="G10" s="5"/>
      <c r="H10" s="5"/>
      <c r="I10" s="5"/>
      <c r="J10" s="5"/>
      <c r="K10" s="5"/>
      <c r="L10" s="5">
        <f>(J5*(4/30))</f>
        <v>3600</v>
      </c>
      <c r="M10" s="5">
        <f>(K5*(4/31))</f>
        <v>3677.4193548387098</v>
      </c>
      <c r="N10" s="5">
        <f>(L5*(4/31))</f>
        <v>3354.838709677419</v>
      </c>
      <c r="O10" s="5">
        <f>(M5*(4/30))</f>
        <v>4000</v>
      </c>
      <c r="P10" s="5">
        <f>(N5*(4/31))</f>
        <v>0</v>
      </c>
    </row>
    <row r="11" spans="1:16" x14ac:dyDescent="0.2">
      <c r="A11" s="100">
        <f>SUM(A8:A10)</f>
        <v>64</v>
      </c>
    </row>
    <row r="13" spans="1:16" x14ac:dyDescent="0.2">
      <c r="B13" s="2" t="s">
        <v>16</v>
      </c>
      <c r="L13" s="5">
        <f>SUM(L8:L10)</f>
        <v>59100</v>
      </c>
      <c r="M13" s="5">
        <f>SUM(M8:M10)</f>
        <v>58677.419354838712</v>
      </c>
      <c r="N13" s="5">
        <f>SUM(N8:N10)</f>
        <v>60354.838709677417</v>
      </c>
      <c r="O13" s="5">
        <f>SUM(O8:O10)</f>
        <v>4000</v>
      </c>
      <c r="P13" s="5">
        <f>SUM(P8:P10)</f>
        <v>0</v>
      </c>
    </row>
  </sheetData>
  <phoneticPr fontId="2" type="noConversion"/>
  <pageMargins left="0.25" right="0.2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</sheetPr>
  <dimension ref="A1:P19"/>
  <sheetViews>
    <sheetView zoomScale="130" zoomScaleNormal="130" workbookViewId="0">
      <selection activeCell="S11" sqref="S11"/>
    </sheetView>
  </sheetViews>
  <sheetFormatPr defaultColWidth="9.140625" defaultRowHeight="12" x14ac:dyDescent="0.2"/>
  <cols>
    <col min="1" max="1" width="13.7109375" style="2" bestFit="1" customWidth="1"/>
    <col min="2" max="2" width="21.140625" style="2" bestFit="1" customWidth="1"/>
    <col min="3" max="3" width="6.7109375" style="2" bestFit="1" customWidth="1"/>
    <col min="4" max="4" width="6.28515625" style="2" bestFit="1" customWidth="1"/>
    <col min="5" max="5" width="6" style="2" bestFit="1" customWidth="1"/>
    <col min="6" max="6" width="6.28515625" style="2" bestFit="1" customWidth="1"/>
    <col min="7" max="7" width="7.85546875" style="2" customWidth="1"/>
    <col min="8" max="8" width="6.28515625" style="2" bestFit="1" customWidth="1"/>
    <col min="9" max="11" width="7.42578125" style="2" bestFit="1" customWidth="1"/>
    <col min="12" max="12" width="8" style="2" bestFit="1" customWidth="1"/>
    <col min="13" max="13" width="7.42578125" style="2" bestFit="1" customWidth="1"/>
    <col min="14" max="14" width="8" style="2" bestFit="1" customWidth="1"/>
    <col min="15" max="15" width="8.42578125" style="2" bestFit="1" customWidth="1"/>
    <col min="16" max="16" width="8" style="2" bestFit="1" customWidth="1"/>
    <col min="17" max="16384" width="9.140625" style="2"/>
  </cols>
  <sheetData>
    <row r="1" spans="1:16" x14ac:dyDescent="0.2">
      <c r="A1" s="1" t="s">
        <v>23</v>
      </c>
    </row>
    <row r="3" spans="1:16" ht="15" customHeight="1" x14ac:dyDescent="0.2">
      <c r="A3" s="3" t="s">
        <v>348</v>
      </c>
      <c r="B3" s="3"/>
      <c r="C3" s="4">
        <v>45597</v>
      </c>
      <c r="D3" s="4">
        <v>45627</v>
      </c>
      <c r="E3" s="4">
        <v>45658</v>
      </c>
      <c r="F3" s="4">
        <v>45689</v>
      </c>
      <c r="G3" s="4">
        <v>45717</v>
      </c>
      <c r="H3" s="4">
        <v>45748</v>
      </c>
      <c r="I3" s="4">
        <v>45778</v>
      </c>
      <c r="J3" s="4">
        <v>45809</v>
      </c>
      <c r="K3" s="4">
        <v>45839</v>
      </c>
      <c r="L3" s="4">
        <v>45870</v>
      </c>
      <c r="M3" s="4">
        <v>45901</v>
      </c>
      <c r="N3" s="4">
        <v>45931</v>
      </c>
      <c r="O3" s="4">
        <v>45962</v>
      </c>
      <c r="P3" s="4">
        <v>45992</v>
      </c>
    </row>
    <row r="4" spans="1:16" x14ac:dyDescent="0.2">
      <c r="A4" s="2" t="s">
        <v>12</v>
      </c>
      <c r="B4" s="2" t="s">
        <v>9</v>
      </c>
      <c r="C4" s="5"/>
      <c r="D4" s="5"/>
      <c r="E4" s="5"/>
      <c r="F4" s="5"/>
      <c r="G4" s="5"/>
      <c r="H4" s="5"/>
      <c r="I4" s="5">
        <v>26500</v>
      </c>
      <c r="J4" s="5">
        <v>27000</v>
      </c>
      <c r="K4" s="5">
        <v>29000</v>
      </c>
      <c r="L4" s="5">
        <v>27000</v>
      </c>
      <c r="M4" s="5">
        <v>29000</v>
      </c>
      <c r="N4" s="5">
        <v>27000</v>
      </c>
      <c r="O4" s="5"/>
      <c r="P4" s="5"/>
    </row>
    <row r="5" spans="1:16" x14ac:dyDescent="0.2">
      <c r="A5" s="2" t="s">
        <v>12</v>
      </c>
      <c r="B5" s="2" t="s">
        <v>10</v>
      </c>
      <c r="C5" s="5"/>
      <c r="D5" s="5"/>
      <c r="E5" s="5"/>
      <c r="F5" s="5"/>
      <c r="G5" s="5"/>
      <c r="H5" s="5"/>
      <c r="I5" s="5">
        <v>26000</v>
      </c>
      <c r="J5" s="5">
        <v>27000</v>
      </c>
      <c r="K5" s="5">
        <v>28500</v>
      </c>
      <c r="L5" s="5">
        <v>26000</v>
      </c>
      <c r="M5" s="5">
        <v>30000</v>
      </c>
      <c r="N5" s="5"/>
      <c r="O5" s="5">
        <v>41000</v>
      </c>
      <c r="P5" s="5"/>
    </row>
    <row r="6" spans="1:16" x14ac:dyDescent="0.2">
      <c r="B6" s="2" t="s">
        <v>11</v>
      </c>
      <c r="I6" s="2">
        <v>64</v>
      </c>
      <c r="J6" s="2">
        <v>64</v>
      </c>
      <c r="K6" s="2">
        <v>64</v>
      </c>
      <c r="L6" s="2">
        <v>64</v>
      </c>
      <c r="M6" s="2">
        <v>64</v>
      </c>
      <c r="N6" s="2">
        <v>64</v>
      </c>
    </row>
    <row r="8" spans="1:16" x14ac:dyDescent="0.2">
      <c r="A8" s="100">
        <v>30</v>
      </c>
      <c r="B8" s="2" t="s">
        <v>13</v>
      </c>
      <c r="C8" s="5"/>
      <c r="D8" s="5"/>
      <c r="E8" s="5"/>
      <c r="F8" s="5"/>
      <c r="G8" s="5"/>
      <c r="H8" s="5"/>
      <c r="I8" s="5"/>
      <c r="J8" s="5"/>
      <c r="K8" s="5"/>
      <c r="L8" s="5">
        <f>L4</f>
        <v>27000</v>
      </c>
      <c r="M8" s="5">
        <f>M4</f>
        <v>29000</v>
      </c>
      <c r="N8" s="5">
        <f>N4</f>
        <v>27000</v>
      </c>
      <c r="O8" s="5">
        <f>O4</f>
        <v>0</v>
      </c>
      <c r="P8" s="5">
        <f>P4</f>
        <v>0</v>
      </c>
    </row>
    <row r="9" spans="1:16" x14ac:dyDescent="0.2">
      <c r="A9" s="100">
        <v>30</v>
      </c>
      <c r="B9" s="2" t="s">
        <v>14</v>
      </c>
      <c r="C9" s="5"/>
      <c r="D9" s="5"/>
      <c r="E9" s="5"/>
      <c r="F9" s="5"/>
      <c r="G9" s="5"/>
      <c r="H9" s="5"/>
      <c r="I9" s="5"/>
      <c r="J9" s="5"/>
      <c r="K9" s="5"/>
      <c r="L9" s="5">
        <f>K5</f>
        <v>28500</v>
      </c>
      <c r="M9" s="5">
        <f>L5</f>
        <v>26000</v>
      </c>
      <c r="N9" s="5">
        <f>M5</f>
        <v>30000</v>
      </c>
      <c r="O9" s="5">
        <f>N5</f>
        <v>0</v>
      </c>
      <c r="P9" s="5">
        <f>O5</f>
        <v>41000</v>
      </c>
    </row>
    <row r="10" spans="1:16" s="102" customFormat="1" x14ac:dyDescent="0.2">
      <c r="A10" s="101">
        <v>4</v>
      </c>
      <c r="B10" s="102" t="s">
        <v>15</v>
      </c>
      <c r="C10" s="5"/>
      <c r="D10" s="5"/>
      <c r="E10" s="5"/>
      <c r="F10" s="5"/>
      <c r="G10" s="5"/>
      <c r="H10" s="5"/>
      <c r="I10" s="5"/>
      <c r="J10" s="5"/>
      <c r="K10" s="5"/>
      <c r="L10" s="5">
        <f>(J5*(4/30))</f>
        <v>3600</v>
      </c>
      <c r="M10" s="5">
        <f>(K5*(4/31))</f>
        <v>3677.4193548387098</v>
      </c>
      <c r="N10" s="5">
        <f>(L5*(4/31))</f>
        <v>3354.838709677419</v>
      </c>
      <c r="O10" s="5">
        <f>(M5*(4/30))</f>
        <v>4000</v>
      </c>
      <c r="P10" s="5">
        <f>(N5*(4/31))</f>
        <v>0</v>
      </c>
    </row>
    <row r="11" spans="1:16" x14ac:dyDescent="0.2">
      <c r="A11" s="100">
        <f>SUM(A8:A10)</f>
        <v>64</v>
      </c>
    </row>
    <row r="13" spans="1:16" x14ac:dyDescent="0.2">
      <c r="B13" s="2" t="s">
        <v>16</v>
      </c>
      <c r="L13" s="5">
        <f>SUM(L8:L10)</f>
        <v>59100</v>
      </c>
      <c r="M13" s="5">
        <f>SUM(M8:M10)</f>
        <v>58677.419354838712</v>
      </c>
      <c r="N13" s="5">
        <f>SUM(N8:N10)</f>
        <v>60354.838709677417</v>
      </c>
      <c r="O13" s="5">
        <f>SUM(O8:O10)</f>
        <v>4000</v>
      </c>
      <c r="P13" s="5">
        <f>SUM(P8:P10)</f>
        <v>41000</v>
      </c>
    </row>
    <row r="16" spans="1:16" x14ac:dyDescent="0.2">
      <c r="B16" s="2" t="s">
        <v>17</v>
      </c>
      <c r="C16" s="5"/>
      <c r="D16" s="5"/>
      <c r="E16" s="5"/>
      <c r="F16" s="5"/>
      <c r="G16" s="5"/>
      <c r="H16" s="5"/>
      <c r="I16" s="5">
        <v>15900</v>
      </c>
      <c r="J16" s="5">
        <v>16000</v>
      </c>
      <c r="K16" s="5">
        <v>20000</v>
      </c>
      <c r="L16" s="5">
        <v>18000</v>
      </c>
      <c r="M16" s="5">
        <v>21000</v>
      </c>
      <c r="N16" s="5">
        <v>20000</v>
      </c>
      <c r="O16" s="5">
        <v>100000</v>
      </c>
      <c r="P16" s="5"/>
    </row>
    <row r="17" spans="2:16" x14ac:dyDescent="0.2">
      <c r="B17" s="2" t="s">
        <v>9</v>
      </c>
      <c r="C17" s="5">
        <f>C4</f>
        <v>0</v>
      </c>
      <c r="D17" s="5">
        <f t="shared" ref="D17:P17" si="0">D4</f>
        <v>0</v>
      </c>
      <c r="E17" s="5">
        <f t="shared" si="0"/>
        <v>0</v>
      </c>
      <c r="F17" s="5">
        <f t="shared" si="0"/>
        <v>0</v>
      </c>
      <c r="G17" s="5">
        <f t="shared" si="0"/>
        <v>0</v>
      </c>
      <c r="H17" s="5">
        <f t="shared" si="0"/>
        <v>0</v>
      </c>
      <c r="I17" s="5">
        <f t="shared" si="0"/>
        <v>26500</v>
      </c>
      <c r="J17" s="5">
        <f t="shared" si="0"/>
        <v>27000</v>
      </c>
      <c r="K17" s="5">
        <f t="shared" si="0"/>
        <v>29000</v>
      </c>
      <c r="L17" s="5">
        <f t="shared" si="0"/>
        <v>27000</v>
      </c>
      <c r="M17" s="5">
        <f t="shared" si="0"/>
        <v>29000</v>
      </c>
      <c r="N17" s="5">
        <f t="shared" si="0"/>
        <v>27000</v>
      </c>
      <c r="O17" s="5">
        <f t="shared" si="0"/>
        <v>0</v>
      </c>
      <c r="P17" s="5">
        <f t="shared" si="0"/>
        <v>0</v>
      </c>
    </row>
    <row r="18" spans="2:16" x14ac:dyDescent="0.2">
      <c r="B18" s="2" t="s">
        <v>18</v>
      </c>
      <c r="C18" s="5">
        <f>C13</f>
        <v>0</v>
      </c>
      <c r="D18" s="5">
        <f t="shared" ref="D18:P18" si="1">D13</f>
        <v>0</v>
      </c>
      <c r="E18" s="5">
        <f t="shared" si="1"/>
        <v>0</v>
      </c>
      <c r="F18" s="5">
        <f t="shared" si="1"/>
        <v>0</v>
      </c>
      <c r="G18" s="5">
        <f t="shared" si="1"/>
        <v>0</v>
      </c>
      <c r="H18" s="5">
        <f t="shared" si="1"/>
        <v>0</v>
      </c>
      <c r="I18" s="5">
        <f t="shared" si="1"/>
        <v>0</v>
      </c>
      <c r="J18" s="5">
        <f t="shared" si="1"/>
        <v>0</v>
      </c>
      <c r="K18" s="5">
        <f t="shared" si="1"/>
        <v>0</v>
      </c>
      <c r="L18" s="5">
        <f t="shared" si="1"/>
        <v>59100</v>
      </c>
      <c r="M18" s="5">
        <f t="shared" si="1"/>
        <v>58677.419354838712</v>
      </c>
      <c r="N18" s="5">
        <f t="shared" si="1"/>
        <v>60354.838709677417</v>
      </c>
      <c r="O18" s="5">
        <f t="shared" si="1"/>
        <v>4000</v>
      </c>
      <c r="P18" s="5">
        <f t="shared" si="1"/>
        <v>41000</v>
      </c>
    </row>
    <row r="19" spans="2:16" x14ac:dyDescent="0.2">
      <c r="B19" s="2" t="s">
        <v>19</v>
      </c>
      <c r="C19" s="5">
        <f>C16+C17-C18</f>
        <v>0</v>
      </c>
      <c r="D19" s="5">
        <f t="shared" ref="D19:P19" si="2">D16+D17-D18</f>
        <v>0</v>
      </c>
      <c r="E19" s="5">
        <f t="shared" si="2"/>
        <v>0</v>
      </c>
      <c r="F19" s="5">
        <f t="shared" si="2"/>
        <v>0</v>
      </c>
      <c r="G19" s="5">
        <f t="shared" si="2"/>
        <v>0</v>
      </c>
      <c r="H19" s="5">
        <f t="shared" si="2"/>
        <v>0</v>
      </c>
      <c r="I19" s="5">
        <f t="shared" si="2"/>
        <v>42400</v>
      </c>
      <c r="J19" s="5">
        <f t="shared" si="2"/>
        <v>43000</v>
      </c>
      <c r="K19" s="5">
        <f t="shared" si="2"/>
        <v>49000</v>
      </c>
      <c r="L19" s="5">
        <f t="shared" si="2"/>
        <v>-14100</v>
      </c>
      <c r="M19" s="5">
        <f t="shared" si="2"/>
        <v>-8677.419354838712</v>
      </c>
      <c r="N19" s="5">
        <f t="shared" si="2"/>
        <v>-13354.838709677417</v>
      </c>
      <c r="O19" s="5">
        <f t="shared" si="2"/>
        <v>96000</v>
      </c>
      <c r="P19" s="5">
        <f t="shared" si="2"/>
        <v>-41000</v>
      </c>
    </row>
  </sheetData>
  <phoneticPr fontId="2" type="noConversion"/>
  <pageMargins left="0.25" right="0.25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499984740745262"/>
  </sheetPr>
  <dimension ref="A1:P25"/>
  <sheetViews>
    <sheetView zoomScale="150" zoomScaleNormal="150" workbookViewId="0">
      <selection activeCell="S17" sqref="S17"/>
    </sheetView>
  </sheetViews>
  <sheetFormatPr defaultColWidth="8.85546875" defaultRowHeight="12" x14ac:dyDescent="0.2"/>
  <cols>
    <col min="1" max="1" width="25.28515625" style="2" bestFit="1" customWidth="1"/>
    <col min="2" max="3" width="7" style="2" bestFit="1" customWidth="1"/>
    <col min="4" max="5" width="7.5703125" style="2" bestFit="1" customWidth="1"/>
    <col min="6" max="9" width="7.28515625" style="2" bestFit="1" customWidth="1"/>
    <col min="10" max="10" width="6.85546875" style="2" customWidth="1"/>
    <col min="11" max="11" width="9.5703125" style="2" customWidth="1"/>
    <col min="12" max="12" width="7.140625" style="2" hidden="1" customWidth="1"/>
    <col min="13" max="15" width="6.85546875" style="2" hidden="1" customWidth="1"/>
    <col min="16" max="16" width="8" style="2" hidden="1" customWidth="1"/>
    <col min="17" max="16384" width="8.85546875" style="2"/>
  </cols>
  <sheetData>
    <row r="1" spans="1:16" x14ac:dyDescent="0.2">
      <c r="A1" s="1"/>
    </row>
    <row r="3" spans="1:16" x14ac:dyDescent="0.2">
      <c r="A3" s="72" t="s">
        <v>234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6" x14ac:dyDescent="0.2">
      <c r="A4" s="49" t="s">
        <v>230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6" x14ac:dyDescent="0.2">
      <c r="A5" s="49" t="s">
        <v>350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6" x14ac:dyDescent="0.2">
      <c r="B6" s="73" t="s">
        <v>44</v>
      </c>
      <c r="C6" s="73" t="s">
        <v>44</v>
      </c>
      <c r="D6" s="73" t="s">
        <v>44</v>
      </c>
      <c r="E6" s="73" t="s">
        <v>44</v>
      </c>
      <c r="F6" s="73" t="s">
        <v>44</v>
      </c>
      <c r="G6" s="73" t="s">
        <v>44</v>
      </c>
      <c r="H6" s="73" t="s">
        <v>44</v>
      </c>
      <c r="I6" s="74" t="s">
        <v>44</v>
      </c>
      <c r="J6" s="74" t="s">
        <v>44</v>
      </c>
      <c r="K6" s="75" t="s">
        <v>231</v>
      </c>
      <c r="L6" s="75" t="s">
        <v>231</v>
      </c>
      <c r="M6" s="75" t="s">
        <v>231</v>
      </c>
      <c r="N6" s="75" t="s">
        <v>231</v>
      </c>
      <c r="O6" s="75" t="s">
        <v>231</v>
      </c>
      <c r="P6" s="76" t="s">
        <v>46</v>
      </c>
    </row>
    <row r="7" spans="1:16" x14ac:dyDescent="0.2">
      <c r="A7" s="70" t="s">
        <v>47</v>
      </c>
      <c r="B7" s="77" t="s">
        <v>48</v>
      </c>
      <c r="C7" s="77" t="s">
        <v>49</v>
      </c>
      <c r="D7" s="77" t="s">
        <v>50</v>
      </c>
      <c r="E7" s="77" t="s">
        <v>51</v>
      </c>
      <c r="F7" s="77" t="s">
        <v>52</v>
      </c>
      <c r="G7" s="77" t="s">
        <v>53</v>
      </c>
      <c r="H7" s="77" t="s">
        <v>54</v>
      </c>
      <c r="I7" s="77" t="s">
        <v>55</v>
      </c>
      <c r="J7" s="77" t="s">
        <v>56</v>
      </c>
      <c r="K7" s="77" t="s">
        <v>57</v>
      </c>
      <c r="L7" s="77" t="s">
        <v>58</v>
      </c>
      <c r="M7" s="77" t="s">
        <v>59</v>
      </c>
      <c r="N7" s="77" t="s">
        <v>48</v>
      </c>
      <c r="O7" s="77" t="s">
        <v>49</v>
      </c>
      <c r="P7" s="76" t="s">
        <v>60</v>
      </c>
    </row>
    <row r="8" spans="1:16" x14ac:dyDescent="0.2">
      <c r="A8" s="49" t="s">
        <v>61</v>
      </c>
      <c r="B8" s="78">
        <v>18</v>
      </c>
      <c r="C8" s="78">
        <v>23</v>
      </c>
      <c r="D8" s="78">
        <v>18</v>
      </c>
      <c r="E8" s="78">
        <v>20</v>
      </c>
      <c r="F8" s="78">
        <v>25</v>
      </c>
      <c r="G8" s="78">
        <v>20</v>
      </c>
      <c r="H8" s="78">
        <v>20</v>
      </c>
      <c r="I8" s="78">
        <v>24</v>
      </c>
      <c r="J8" s="78">
        <v>19</v>
      </c>
      <c r="K8" s="78">
        <v>20</v>
      </c>
      <c r="L8" s="78">
        <v>24</v>
      </c>
      <c r="M8" s="78">
        <v>20</v>
      </c>
      <c r="N8" s="78">
        <v>20</v>
      </c>
      <c r="O8" s="78">
        <v>22</v>
      </c>
      <c r="P8" s="79">
        <f>SUM(D8:O8)</f>
        <v>252</v>
      </c>
    </row>
    <row r="9" spans="1:16" x14ac:dyDescent="0.2">
      <c r="A9" s="49"/>
      <c r="P9" s="80"/>
    </row>
    <row r="10" spans="1:16" x14ac:dyDescent="0.2">
      <c r="A10" s="49" t="s">
        <v>232</v>
      </c>
      <c r="B10" s="81">
        <v>4987</v>
      </c>
      <c r="C10" s="81">
        <v>7538</v>
      </c>
      <c r="D10" s="81">
        <v>5179</v>
      </c>
      <c r="E10" s="81">
        <v>5575</v>
      </c>
      <c r="F10" s="81">
        <v>7175</v>
      </c>
      <c r="G10" s="82">
        <v>5691</v>
      </c>
      <c r="H10" s="81">
        <v>5781</v>
      </c>
      <c r="I10" s="82">
        <v>7332</v>
      </c>
      <c r="J10" s="82">
        <v>5381</v>
      </c>
      <c r="K10" s="83">
        <v>5541</v>
      </c>
      <c r="L10" s="84">
        <v>6961</v>
      </c>
      <c r="M10" s="84">
        <v>5720</v>
      </c>
      <c r="N10" s="84">
        <v>6020</v>
      </c>
      <c r="O10" s="84">
        <v>7009</v>
      </c>
      <c r="P10" s="85">
        <f>SUM(D10:O10)</f>
        <v>73365</v>
      </c>
    </row>
    <row r="11" spans="1:16" x14ac:dyDescent="0.2">
      <c r="A11" s="49"/>
      <c r="B11" s="86"/>
      <c r="C11" s="86"/>
      <c r="D11" s="86"/>
      <c r="E11" s="86"/>
      <c r="F11" s="86"/>
      <c r="G11" s="86"/>
      <c r="H11" s="86"/>
      <c r="I11" s="87"/>
      <c r="J11" s="86"/>
      <c r="K11" s="88"/>
      <c r="L11" s="86"/>
      <c r="M11" s="86"/>
      <c r="N11" s="86"/>
      <c r="O11" s="86"/>
      <c r="P11" s="80"/>
    </row>
    <row r="12" spans="1:16" ht="14.25" customHeight="1" x14ac:dyDescent="0.2">
      <c r="A12" s="49" t="s">
        <v>62</v>
      </c>
      <c r="B12" s="86"/>
      <c r="C12" s="86"/>
      <c r="D12" s="88">
        <f>B10</f>
        <v>4987</v>
      </c>
      <c r="E12" s="88">
        <f>C10</f>
        <v>7538</v>
      </c>
      <c r="F12" s="88">
        <f>D10</f>
        <v>5179</v>
      </c>
      <c r="G12" s="88">
        <f>E10</f>
        <v>5575</v>
      </c>
      <c r="H12" s="88">
        <f>F10</f>
        <v>7175</v>
      </c>
      <c r="I12" s="86">
        <f t="shared" ref="I12:O12" si="0">G10</f>
        <v>5691</v>
      </c>
      <c r="J12" s="86">
        <f t="shared" si="0"/>
        <v>5781</v>
      </c>
      <c r="K12" s="89">
        <f t="shared" si="0"/>
        <v>7332</v>
      </c>
      <c r="L12" s="89">
        <f t="shared" si="0"/>
        <v>5381</v>
      </c>
      <c r="M12" s="89">
        <f t="shared" si="0"/>
        <v>5541</v>
      </c>
      <c r="N12" s="89">
        <f t="shared" si="0"/>
        <v>6961</v>
      </c>
      <c r="O12" s="89">
        <f t="shared" si="0"/>
        <v>5720</v>
      </c>
      <c r="P12" s="80"/>
    </row>
    <row r="13" spans="1:16" ht="14.25" customHeight="1" x14ac:dyDescent="0.2">
      <c r="A13" s="49" t="s">
        <v>63</v>
      </c>
      <c r="B13" s="86"/>
      <c r="C13" s="86"/>
      <c r="D13" s="88">
        <f>($B$23-B8)*C10/C8</f>
        <v>4653.8956521739137</v>
      </c>
      <c r="E13" s="88">
        <f t="shared" ref="E13:O13" si="1">($B$23-C8)*D10/D8</f>
        <v>2647.0444444444456</v>
      </c>
      <c r="F13" s="88">
        <f>($B$23-D8)*E10/E8</f>
        <v>3958.2500000000009</v>
      </c>
      <c r="G13" s="88">
        <f>($B$23-E8)*F10/F8</f>
        <v>3501.4000000000005</v>
      </c>
      <c r="H13" s="88">
        <f>($B$23-F8)*G10/G8</f>
        <v>2048.7600000000011</v>
      </c>
      <c r="I13" s="88">
        <f t="shared" si="1"/>
        <v>3526.4100000000008</v>
      </c>
      <c r="J13" s="88">
        <f t="shared" si="1"/>
        <v>3727.1000000000008</v>
      </c>
      <c r="K13" s="88">
        <f t="shared" si="1"/>
        <v>2322.3263157894748</v>
      </c>
      <c r="L13" s="88">
        <f t="shared" si="1"/>
        <v>3657.0600000000004</v>
      </c>
      <c r="M13" s="88">
        <f t="shared" si="1"/>
        <v>3538.5083333333346</v>
      </c>
      <c r="N13" s="88">
        <f t="shared" si="1"/>
        <v>2345.2000000000007</v>
      </c>
      <c r="O13" s="88">
        <f t="shared" si="1"/>
        <v>3672.2000000000007</v>
      </c>
      <c r="P13" s="80"/>
    </row>
    <row r="14" spans="1:16" ht="15.75" customHeight="1" x14ac:dyDescent="0.2">
      <c r="A14" s="49" t="s">
        <v>64</v>
      </c>
      <c r="B14" s="86"/>
      <c r="C14" s="86"/>
      <c r="D14" s="88">
        <f>SUM(D12:D13)/$B$23</f>
        <v>299.40669727248172</v>
      </c>
      <c r="E14" s="88">
        <f t="shared" ref="E14:O14" si="2">SUM(E12:E13)/$B$23</f>
        <v>316.30572808833682</v>
      </c>
      <c r="F14" s="88">
        <f>SUM(F12:F13)/$B$23</f>
        <v>283.76552795031051</v>
      </c>
      <c r="G14" s="88">
        <f t="shared" si="2"/>
        <v>281.87577639751555</v>
      </c>
      <c r="H14" s="88">
        <f>SUM(H12:H13)/$B$23</f>
        <v>286.45217391304351</v>
      </c>
      <c r="I14" s="88">
        <f t="shared" si="2"/>
        <v>286.25496894409935</v>
      </c>
      <c r="J14" s="88">
        <f t="shared" si="2"/>
        <v>295.28260869565219</v>
      </c>
      <c r="K14" s="88">
        <f t="shared" si="2"/>
        <v>299.8237986270023</v>
      </c>
      <c r="L14" s="88">
        <f t="shared" si="2"/>
        <v>280.68509316770189</v>
      </c>
      <c r="M14" s="88">
        <f t="shared" si="2"/>
        <v>281.97230848861284</v>
      </c>
      <c r="N14" s="88">
        <f t="shared" si="2"/>
        <v>289.01242236024842</v>
      </c>
      <c r="O14" s="88">
        <f t="shared" si="2"/>
        <v>291.68322981366458</v>
      </c>
      <c r="P14" s="80"/>
    </row>
    <row r="15" spans="1:16" ht="15" customHeight="1" x14ac:dyDescent="0.2">
      <c r="A15" s="49" t="s">
        <v>65</v>
      </c>
      <c r="B15" s="86"/>
      <c r="C15" s="86"/>
      <c r="D15" s="88">
        <f>D14*D8</f>
        <v>5389.3205509046711</v>
      </c>
      <c r="E15" s="88">
        <f t="shared" ref="E15:O15" si="3">E14*E8</f>
        <v>6326.1145617667362</v>
      </c>
      <c r="F15" s="88">
        <f t="shared" si="3"/>
        <v>7094.1381987577624</v>
      </c>
      <c r="G15" s="88">
        <f>G14*G8</f>
        <v>5637.5155279503106</v>
      </c>
      <c r="H15" s="88">
        <f>H14*H8</f>
        <v>5729.04347826087</v>
      </c>
      <c r="I15" s="89">
        <f t="shared" si="3"/>
        <v>6870.1192546583843</v>
      </c>
      <c r="J15" s="89">
        <f t="shared" si="3"/>
        <v>5610.3695652173919</v>
      </c>
      <c r="K15" s="89">
        <f t="shared" si="3"/>
        <v>5996.4759725400463</v>
      </c>
      <c r="L15" s="89">
        <f t="shared" si="3"/>
        <v>6736.4422360248454</v>
      </c>
      <c r="M15" s="89">
        <f t="shared" si="3"/>
        <v>5639.4461697722563</v>
      </c>
      <c r="N15" s="89">
        <f t="shared" si="3"/>
        <v>5780.2484472049682</v>
      </c>
      <c r="O15" s="89">
        <f t="shared" si="3"/>
        <v>6417.0310559006211</v>
      </c>
      <c r="P15" s="85">
        <f>SUM(D15:O15)</f>
        <v>73226.26501895886</v>
      </c>
    </row>
    <row r="16" spans="1:16" ht="15.75" customHeight="1" x14ac:dyDescent="0.2">
      <c r="A16" s="71" t="s">
        <v>66</v>
      </c>
      <c r="B16" s="90"/>
      <c r="C16" s="90"/>
      <c r="D16" s="90">
        <f t="shared" ref="D16:K16" si="4">D15</f>
        <v>5389.3205509046711</v>
      </c>
      <c r="E16" s="90">
        <f t="shared" si="4"/>
        <v>6326.1145617667362</v>
      </c>
      <c r="F16" s="90">
        <f t="shared" si="4"/>
        <v>7094.1381987577624</v>
      </c>
      <c r="G16" s="90">
        <f t="shared" si="4"/>
        <v>5637.5155279503106</v>
      </c>
      <c r="H16" s="90">
        <f t="shared" si="4"/>
        <v>5729.04347826087</v>
      </c>
      <c r="I16" s="90">
        <f t="shared" si="4"/>
        <v>6870.1192546583843</v>
      </c>
      <c r="J16" s="91">
        <f t="shared" si="4"/>
        <v>5610.3695652173919</v>
      </c>
      <c r="K16" s="90">
        <f t="shared" si="4"/>
        <v>5996.4759725400463</v>
      </c>
      <c r="L16" s="92">
        <f>L15</f>
        <v>6736.4422360248454</v>
      </c>
      <c r="M16" s="92">
        <f>M15</f>
        <v>5639.4461697722563</v>
      </c>
      <c r="N16" s="92">
        <f>N15</f>
        <v>5780.2484472049682</v>
      </c>
      <c r="O16" s="92">
        <f>O15</f>
        <v>6417.0310559006211</v>
      </c>
      <c r="P16" s="85">
        <f>SUM(D16:O16)</f>
        <v>73226.26501895886</v>
      </c>
    </row>
    <row r="17" spans="1:16" ht="15.75" customHeight="1" x14ac:dyDescent="0.2">
      <c r="A17" s="49" t="s">
        <v>67</v>
      </c>
      <c r="B17" s="82"/>
      <c r="C17" s="82"/>
      <c r="D17" s="93">
        <v>4238</v>
      </c>
      <c r="E17" s="93">
        <v>5301</v>
      </c>
      <c r="F17" s="93">
        <v>7065</v>
      </c>
      <c r="G17" s="93">
        <v>5653</v>
      </c>
      <c r="H17" s="93">
        <v>6072</v>
      </c>
      <c r="I17" s="93">
        <v>6808</v>
      </c>
      <c r="J17" s="93">
        <v>5775</v>
      </c>
      <c r="K17" s="93"/>
      <c r="L17" s="94"/>
      <c r="M17" s="94"/>
      <c r="N17" s="94"/>
      <c r="O17" s="94"/>
      <c r="P17" s="85">
        <f>SUM(D17:O17)</f>
        <v>40912</v>
      </c>
    </row>
    <row r="18" spans="1:16" ht="15.75" customHeight="1" x14ac:dyDescent="0.2">
      <c r="A18" s="49" t="s">
        <v>68</v>
      </c>
      <c r="B18" s="86"/>
      <c r="C18" s="86"/>
      <c r="D18" s="86">
        <f>D17-D16</f>
        <v>-1151.3205509046711</v>
      </c>
      <c r="E18" s="86">
        <f t="shared" ref="E18:O18" si="5">E17-E16</f>
        <v>-1025.1145617667362</v>
      </c>
      <c r="F18" s="86">
        <f t="shared" si="5"/>
        <v>-29.138198757762439</v>
      </c>
      <c r="G18" s="86">
        <f t="shared" si="5"/>
        <v>15.48447204968943</v>
      </c>
      <c r="H18" s="86">
        <f t="shared" si="5"/>
        <v>342.95652173913004</v>
      </c>
      <c r="I18" s="86">
        <f t="shared" si="5"/>
        <v>-62.119254658384307</v>
      </c>
      <c r="J18" s="86">
        <f t="shared" si="5"/>
        <v>164.63043478260806</v>
      </c>
      <c r="K18" s="86">
        <f t="shared" si="5"/>
        <v>-5996.4759725400463</v>
      </c>
      <c r="L18" s="86">
        <f t="shared" si="5"/>
        <v>-6736.4422360248454</v>
      </c>
      <c r="M18" s="86">
        <f t="shared" si="5"/>
        <v>-5639.4461697722563</v>
      </c>
      <c r="N18" s="86">
        <f t="shared" si="5"/>
        <v>-5780.2484472049682</v>
      </c>
      <c r="O18" s="86">
        <f t="shared" si="5"/>
        <v>-6417.0310559006211</v>
      </c>
      <c r="P18" s="85"/>
    </row>
    <row r="19" spans="1:16" ht="15.75" customHeight="1" x14ac:dyDescent="0.2">
      <c r="A19" s="49" t="s">
        <v>69</v>
      </c>
      <c r="B19" s="86"/>
      <c r="C19" s="86"/>
      <c r="D19" s="6">
        <f>D17/D16-1</f>
        <v>-0.21363000029964929</v>
      </c>
      <c r="E19" s="6">
        <f t="shared" ref="E19:P19" si="6">E17/E16-1</f>
        <v>-0.16204489371125863</v>
      </c>
      <c r="F19" s="6">
        <f t="shared" si="6"/>
        <v>-4.1073627185420625E-3</v>
      </c>
      <c r="G19" s="6">
        <f>G17/G16-1</f>
        <v>2.7466837071967731E-3</v>
      </c>
      <c r="H19" s="6">
        <f t="shared" si="6"/>
        <v>5.9862789144557116E-2</v>
      </c>
      <c r="I19" s="6">
        <f t="shared" si="6"/>
        <v>-9.0419470690066284E-3</v>
      </c>
      <c r="J19" s="6">
        <f t="shared" si="6"/>
        <v>2.9343955486153206E-2</v>
      </c>
      <c r="K19" s="6">
        <f t="shared" si="6"/>
        <v>-1</v>
      </c>
      <c r="L19" s="6">
        <f t="shared" si="6"/>
        <v>-1</v>
      </c>
      <c r="M19" s="6">
        <f t="shared" si="6"/>
        <v>-1</v>
      </c>
      <c r="N19" s="6">
        <f t="shared" si="6"/>
        <v>-1</v>
      </c>
      <c r="O19" s="6">
        <f t="shared" si="6"/>
        <v>-1</v>
      </c>
      <c r="P19" s="95">
        <f t="shared" si="6"/>
        <v>-0.44129336667099495</v>
      </c>
    </row>
    <row r="20" spans="1:16" ht="15.75" customHeight="1" x14ac:dyDescent="0.2">
      <c r="A20" s="49" t="s">
        <v>233</v>
      </c>
      <c r="B20" s="86"/>
      <c r="C20" s="86"/>
      <c r="D20" s="6">
        <f>D17/D16</f>
        <v>0.78636999970035071</v>
      </c>
      <c r="E20" s="6">
        <f t="shared" ref="E20:J20" si="7">E17/E16</f>
        <v>0.83795510628874137</v>
      </c>
      <c r="F20" s="6">
        <f>F17/F16</f>
        <v>0.99589263728145794</v>
      </c>
      <c r="G20" s="6">
        <f t="shared" si="7"/>
        <v>1.0027466837071968</v>
      </c>
      <c r="H20" s="6">
        <f t="shared" si="7"/>
        <v>1.0598627891445571</v>
      </c>
      <c r="I20" s="6">
        <f t="shared" si="7"/>
        <v>0.99095805293099337</v>
      </c>
      <c r="J20" s="6">
        <f t="shared" si="7"/>
        <v>1.0293439554861532</v>
      </c>
      <c r="K20" s="6"/>
      <c r="L20" s="6"/>
      <c r="M20" s="6"/>
      <c r="N20" s="6"/>
      <c r="O20" s="6"/>
      <c r="P20" s="95"/>
    </row>
    <row r="21" spans="1:16" ht="21.75" customHeight="1" x14ac:dyDescent="0.2">
      <c r="A21" s="49" t="s">
        <v>45</v>
      </c>
      <c r="B21" s="82"/>
      <c r="C21" s="82"/>
      <c r="D21" s="82">
        <v>5774</v>
      </c>
      <c r="E21" s="82">
        <v>6593</v>
      </c>
      <c r="F21" s="82">
        <v>6848</v>
      </c>
      <c r="G21" s="82">
        <v>6934</v>
      </c>
      <c r="H21" s="82">
        <v>6874</v>
      </c>
      <c r="I21" s="82">
        <v>6665</v>
      </c>
      <c r="J21" s="82">
        <v>7150</v>
      </c>
      <c r="K21" s="82">
        <v>6699</v>
      </c>
      <c r="L21" s="96"/>
      <c r="M21" s="96"/>
      <c r="N21" s="96"/>
      <c r="O21" s="96"/>
      <c r="P21" s="85">
        <f>SUM(D21:O21)</f>
        <v>53537</v>
      </c>
    </row>
    <row r="22" spans="1:16" ht="21.75" customHeight="1" thickBot="1" x14ac:dyDescent="0.25">
      <c r="A22" s="49" t="s">
        <v>70</v>
      </c>
      <c r="D22" s="6">
        <f>D17/D21</f>
        <v>0.73397990994111539</v>
      </c>
      <c r="E22" s="6">
        <f t="shared" ref="E22:P22" si="8">E17/E21</f>
        <v>0.80403458213256485</v>
      </c>
      <c r="F22" s="6">
        <f t="shared" si="8"/>
        <v>1.0316880841121496</v>
      </c>
      <c r="G22" s="6">
        <f>G17/G21</f>
        <v>0.81525814825497545</v>
      </c>
      <c r="H22" s="6">
        <f>H17/H21</f>
        <v>0.88332848414314813</v>
      </c>
      <c r="I22" s="6">
        <f t="shared" si="8"/>
        <v>1.0214553638409603</v>
      </c>
      <c r="J22" s="6">
        <f t="shared" si="8"/>
        <v>0.80769230769230771</v>
      </c>
      <c r="K22" s="6">
        <f t="shared" si="8"/>
        <v>0</v>
      </c>
      <c r="L22" s="6" t="e">
        <f t="shared" si="8"/>
        <v>#DIV/0!</v>
      </c>
      <c r="M22" s="6" t="e">
        <f t="shared" si="8"/>
        <v>#DIV/0!</v>
      </c>
      <c r="N22" s="6" t="e">
        <f t="shared" si="8"/>
        <v>#DIV/0!</v>
      </c>
      <c r="O22" s="6" t="e">
        <f t="shared" si="8"/>
        <v>#DIV/0!</v>
      </c>
      <c r="P22" s="95">
        <f t="shared" si="8"/>
        <v>0.76418178082447652</v>
      </c>
    </row>
    <row r="23" spans="1:16" ht="13.5" thickTop="1" thickBot="1" x14ac:dyDescent="0.25">
      <c r="A23" s="97" t="s">
        <v>71</v>
      </c>
      <c r="B23" s="98">
        <v>32.200000000000003</v>
      </c>
    </row>
    <row r="24" spans="1:16" ht="12.75" thickTop="1" x14ac:dyDescent="0.2">
      <c r="A24" s="99" t="s">
        <v>72</v>
      </c>
      <c r="B24" s="99"/>
    </row>
    <row r="25" spans="1:16" x14ac:dyDescent="0.2">
      <c r="A25" s="68" t="s">
        <v>73</v>
      </c>
      <c r="B25" s="68"/>
    </row>
  </sheetData>
  <phoneticPr fontId="2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-0.249977111117893"/>
  </sheetPr>
  <dimension ref="A1:N28"/>
  <sheetViews>
    <sheetView zoomScale="140" zoomScaleNormal="140" workbookViewId="0">
      <pane xSplit="2" ySplit="5" topLeftCell="C6" activePane="bottomRight" state="frozen"/>
      <selection activeCell="O23" sqref="O23"/>
      <selection pane="topRight" activeCell="O23" sqref="O23"/>
      <selection pane="bottomLeft" activeCell="O23" sqref="O23"/>
      <selection pane="bottomRight" activeCell="Q15" sqref="Q15"/>
    </sheetView>
  </sheetViews>
  <sheetFormatPr defaultColWidth="9.140625" defaultRowHeight="12" x14ac:dyDescent="0.2"/>
  <cols>
    <col min="1" max="1" width="9.140625" style="2"/>
    <col min="2" max="2" width="15.140625" style="2" customWidth="1"/>
    <col min="3" max="3" width="6.42578125" style="2" bestFit="1" customWidth="1"/>
    <col min="4" max="5" width="6.7109375" style="2" bestFit="1" customWidth="1"/>
    <col min="6" max="6" width="6.42578125" style="2" bestFit="1" customWidth="1"/>
    <col min="7" max="7" width="7.140625" style="2" bestFit="1" customWidth="1"/>
    <col min="8" max="8" width="6.42578125" style="2" customWidth="1"/>
    <col min="9" max="9" width="5.85546875" style="2" bestFit="1" customWidth="1"/>
    <col min="10" max="11" width="6.85546875" style="2" bestFit="1" customWidth="1"/>
    <col min="12" max="13" width="6.5703125" style="2" bestFit="1" customWidth="1"/>
    <col min="14" max="14" width="6.85546875" style="2" bestFit="1" customWidth="1"/>
    <col min="15" max="16384" width="9.140625" style="2"/>
  </cols>
  <sheetData>
    <row r="1" spans="1:14" x14ac:dyDescent="0.2">
      <c r="A1" s="1" t="s">
        <v>255</v>
      </c>
    </row>
    <row r="3" spans="1:14" x14ac:dyDescent="0.2">
      <c r="A3" s="49" t="s">
        <v>24</v>
      </c>
    </row>
    <row r="4" spans="1:14" x14ac:dyDescent="0.2">
      <c r="A4" s="49"/>
      <c r="H4" s="66" t="s">
        <v>26</v>
      </c>
    </row>
    <row r="5" spans="1:14" x14ac:dyDescent="0.2">
      <c r="B5" s="2" t="s">
        <v>25</v>
      </c>
      <c r="C5" s="19">
        <v>45658</v>
      </c>
      <c r="D5" s="19">
        <v>45689</v>
      </c>
      <c r="E5" s="19">
        <v>45717</v>
      </c>
      <c r="F5" s="19">
        <v>45748</v>
      </c>
      <c r="G5" s="19">
        <v>45778</v>
      </c>
      <c r="H5" s="19">
        <v>45809</v>
      </c>
      <c r="I5" s="19">
        <v>45839</v>
      </c>
      <c r="J5" s="19">
        <v>45870</v>
      </c>
      <c r="K5" s="19">
        <v>45901</v>
      </c>
      <c r="L5" s="19">
        <v>45931</v>
      </c>
      <c r="M5" s="19">
        <v>45962</v>
      </c>
      <c r="N5" s="19">
        <v>45992</v>
      </c>
    </row>
    <row r="6" spans="1:14" x14ac:dyDescent="0.2">
      <c r="C6" s="67"/>
      <c r="D6" s="67"/>
      <c r="E6" s="67"/>
      <c r="F6" s="67"/>
      <c r="G6" s="67"/>
      <c r="H6" s="67"/>
      <c r="I6" s="67"/>
      <c r="J6" s="67"/>
      <c r="K6" s="19"/>
      <c r="L6" s="19"/>
      <c r="M6" s="19"/>
      <c r="N6" s="19"/>
    </row>
    <row r="7" spans="1:14" x14ac:dyDescent="0.2">
      <c r="A7" s="2">
        <v>1</v>
      </c>
      <c r="B7" s="2" t="s">
        <v>256</v>
      </c>
      <c r="C7" s="5"/>
      <c r="D7" s="5"/>
      <c r="E7" s="5"/>
      <c r="F7" s="5"/>
      <c r="G7" s="5"/>
      <c r="H7" s="5"/>
      <c r="I7" s="5"/>
      <c r="J7" s="5"/>
      <c r="K7" s="5"/>
      <c r="L7" s="5">
        <v>5000</v>
      </c>
      <c r="M7" s="5"/>
      <c r="N7" s="5"/>
    </row>
    <row r="8" spans="1:14" x14ac:dyDescent="0.2">
      <c r="A8" s="2">
        <v>2</v>
      </c>
      <c r="B8" s="2" t="s">
        <v>259</v>
      </c>
      <c r="C8" s="5"/>
      <c r="D8" s="5"/>
      <c r="E8" s="5"/>
      <c r="F8" s="5"/>
      <c r="G8" s="5"/>
      <c r="H8" s="5"/>
      <c r="I8" s="5"/>
      <c r="J8" s="5"/>
      <c r="K8" s="5"/>
      <c r="L8" s="5">
        <v>1000</v>
      </c>
      <c r="M8" s="5"/>
      <c r="N8" s="5"/>
    </row>
    <row r="9" spans="1:14" x14ac:dyDescent="0.2">
      <c r="A9" s="2">
        <v>3</v>
      </c>
      <c r="B9" s="2" t="s">
        <v>260</v>
      </c>
      <c r="C9" s="5"/>
      <c r="D9" s="5"/>
      <c r="E9" s="5"/>
      <c r="F9" s="5"/>
      <c r="G9" s="5"/>
      <c r="H9" s="5"/>
      <c r="I9" s="5"/>
      <c r="J9" s="5"/>
      <c r="K9" s="5"/>
      <c r="L9" s="5">
        <v>750</v>
      </c>
      <c r="M9" s="5"/>
      <c r="N9" s="5"/>
    </row>
    <row r="10" spans="1:14" x14ac:dyDescent="0.2">
      <c r="A10" s="2">
        <v>4</v>
      </c>
      <c r="B10" s="2" t="s">
        <v>261</v>
      </c>
      <c r="C10" s="5"/>
      <c r="D10" s="5"/>
      <c r="E10" s="5"/>
      <c r="F10" s="5"/>
      <c r="G10" s="5"/>
      <c r="H10" s="5"/>
      <c r="I10" s="5"/>
      <c r="J10" s="5"/>
      <c r="K10" s="5"/>
      <c r="L10" s="5">
        <v>500</v>
      </c>
      <c r="M10" s="5"/>
      <c r="N10" s="5"/>
    </row>
    <row r="11" spans="1:14" x14ac:dyDescent="0.2">
      <c r="A11" s="2">
        <v>5</v>
      </c>
      <c r="B11" s="2" t="s">
        <v>257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x14ac:dyDescent="0.2">
      <c r="A12" s="2">
        <v>6</v>
      </c>
      <c r="B12" s="2" t="s">
        <v>258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x14ac:dyDescent="0.2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">
      <c r="B14" s="68" t="s">
        <v>27</v>
      </c>
      <c r="C14" s="22">
        <f t="shared" ref="C14:N14" si="0">SUM(C7:C13)</f>
        <v>0</v>
      </c>
      <c r="D14" s="22">
        <f t="shared" si="0"/>
        <v>0</v>
      </c>
      <c r="E14" s="22">
        <f t="shared" si="0"/>
        <v>0</v>
      </c>
      <c r="F14" s="22">
        <f t="shared" si="0"/>
        <v>0</v>
      </c>
      <c r="G14" s="22">
        <f t="shared" si="0"/>
        <v>0</v>
      </c>
      <c r="H14" s="22">
        <f t="shared" si="0"/>
        <v>0</v>
      </c>
      <c r="I14" s="22">
        <f t="shared" si="0"/>
        <v>0</v>
      </c>
      <c r="J14" s="22">
        <f t="shared" si="0"/>
        <v>0</v>
      </c>
      <c r="K14" s="22">
        <f t="shared" si="0"/>
        <v>0</v>
      </c>
      <c r="L14" s="22">
        <f t="shared" si="0"/>
        <v>7250</v>
      </c>
      <c r="M14" s="22">
        <f t="shared" si="0"/>
        <v>0</v>
      </c>
      <c r="N14" s="22">
        <f t="shared" si="0"/>
        <v>0</v>
      </c>
    </row>
    <row r="15" spans="1:14" x14ac:dyDescent="0.2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x14ac:dyDescent="0.2">
      <c r="A16" s="49" t="s">
        <v>28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x14ac:dyDescent="0.2">
      <c r="A17" s="49" t="s">
        <v>29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9" spans="1:14" x14ac:dyDescent="0.2">
      <c r="B19" s="2" t="s">
        <v>30</v>
      </c>
      <c r="C19" s="5"/>
      <c r="D19" s="5"/>
      <c r="E19" s="5"/>
      <c r="F19" s="5"/>
      <c r="G19" s="5"/>
      <c r="H19" s="5"/>
      <c r="I19" s="5"/>
      <c r="J19" s="5"/>
      <c r="K19" s="5"/>
      <c r="L19" s="5">
        <v>300</v>
      </c>
      <c r="M19" s="5"/>
      <c r="N19" s="5"/>
    </row>
    <row r="20" spans="1:14" x14ac:dyDescent="0.2">
      <c r="B20" s="69" t="s">
        <v>31</v>
      </c>
      <c r="C20" s="5"/>
      <c r="D20" s="5"/>
      <c r="E20" s="5"/>
      <c r="F20" s="5"/>
      <c r="G20" s="5"/>
      <c r="H20" s="5"/>
      <c r="I20" s="5"/>
      <c r="J20" s="5"/>
      <c r="K20" s="5"/>
      <c r="L20" s="5">
        <v>500</v>
      </c>
      <c r="M20" s="5"/>
      <c r="N20" s="5"/>
    </row>
    <row r="21" spans="1:14" x14ac:dyDescent="0.2">
      <c r="B21" s="70" t="s">
        <v>32</v>
      </c>
      <c r="C21" s="5"/>
      <c r="D21" s="5"/>
      <c r="E21" s="5"/>
      <c r="F21" s="5"/>
      <c r="G21" s="5"/>
      <c r="H21" s="5"/>
      <c r="I21" s="5"/>
      <c r="J21" s="5"/>
      <c r="K21" s="5"/>
      <c r="L21" s="5">
        <v>100</v>
      </c>
      <c r="M21" s="5"/>
      <c r="N21" s="5"/>
    </row>
    <row r="22" spans="1:14" x14ac:dyDescent="0.2">
      <c r="B22" s="70" t="s">
        <v>33</v>
      </c>
      <c r="C22" s="5"/>
      <c r="D22" s="5"/>
      <c r="E22" s="5"/>
      <c r="F22" s="5"/>
      <c r="G22" s="5"/>
      <c r="H22" s="5"/>
      <c r="I22" s="5"/>
      <c r="J22" s="5"/>
      <c r="K22" s="5"/>
      <c r="L22" s="5">
        <v>50</v>
      </c>
      <c r="M22" s="5"/>
      <c r="N22" s="5"/>
    </row>
    <row r="23" spans="1:14" x14ac:dyDescent="0.2">
      <c r="B23" s="70" t="s">
        <v>34</v>
      </c>
      <c r="C23" s="5"/>
      <c r="D23" s="5"/>
      <c r="E23" s="5"/>
      <c r="F23" s="5"/>
      <c r="G23" s="5"/>
      <c r="H23" s="5"/>
      <c r="I23" s="5"/>
      <c r="J23" s="5"/>
      <c r="K23" s="5"/>
      <c r="L23" s="5">
        <v>0</v>
      </c>
      <c r="M23" s="5"/>
      <c r="N23" s="5"/>
    </row>
    <row r="24" spans="1:14" x14ac:dyDescent="0.2">
      <c r="B24" s="2" t="s">
        <v>35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6" spans="1:14" x14ac:dyDescent="0.2">
      <c r="B26" s="68" t="s">
        <v>27</v>
      </c>
      <c r="C26" s="22">
        <f t="shared" ref="C26:N26" si="1">SUM(C19:C24)</f>
        <v>0</v>
      </c>
      <c r="D26" s="22">
        <f t="shared" si="1"/>
        <v>0</v>
      </c>
      <c r="E26" s="22">
        <f t="shared" si="1"/>
        <v>0</v>
      </c>
      <c r="F26" s="22">
        <f t="shared" si="1"/>
        <v>0</v>
      </c>
      <c r="G26" s="22">
        <f t="shared" si="1"/>
        <v>0</v>
      </c>
      <c r="H26" s="22">
        <f t="shared" si="1"/>
        <v>0</v>
      </c>
      <c r="I26" s="22">
        <f t="shared" si="1"/>
        <v>0</v>
      </c>
      <c r="J26" s="22">
        <f t="shared" si="1"/>
        <v>0</v>
      </c>
      <c r="K26" s="22">
        <f t="shared" si="1"/>
        <v>0</v>
      </c>
      <c r="L26" s="22">
        <f t="shared" si="1"/>
        <v>950</v>
      </c>
      <c r="M26" s="22">
        <f t="shared" si="1"/>
        <v>0</v>
      </c>
      <c r="N26" s="22">
        <f t="shared" si="1"/>
        <v>0</v>
      </c>
    </row>
    <row r="28" spans="1:14" x14ac:dyDescent="0.2">
      <c r="B28" s="71" t="s">
        <v>36</v>
      </c>
      <c r="C28" s="22">
        <f t="shared" ref="C28:N28" si="2">C26+C14</f>
        <v>0</v>
      </c>
      <c r="D28" s="22">
        <f t="shared" si="2"/>
        <v>0</v>
      </c>
      <c r="E28" s="22">
        <f t="shared" si="2"/>
        <v>0</v>
      </c>
      <c r="F28" s="22">
        <f t="shared" si="2"/>
        <v>0</v>
      </c>
      <c r="G28" s="22">
        <f t="shared" si="2"/>
        <v>0</v>
      </c>
      <c r="H28" s="22">
        <f t="shared" si="2"/>
        <v>0</v>
      </c>
      <c r="I28" s="22">
        <f t="shared" si="2"/>
        <v>0</v>
      </c>
      <c r="J28" s="22">
        <f t="shared" si="2"/>
        <v>0</v>
      </c>
      <c r="K28" s="22">
        <f t="shared" si="2"/>
        <v>0</v>
      </c>
      <c r="L28" s="22">
        <f t="shared" si="2"/>
        <v>8200</v>
      </c>
      <c r="M28" s="22">
        <f t="shared" si="2"/>
        <v>0</v>
      </c>
      <c r="N28" s="22">
        <f t="shared" si="2"/>
        <v>0</v>
      </c>
    </row>
  </sheetData>
  <phoneticPr fontId="2" type="noConversion"/>
  <pageMargins left="0.25" right="0.25" top="0.5" bottom="0.5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-0.249977111117893"/>
  </sheetPr>
  <dimension ref="A1:H124"/>
  <sheetViews>
    <sheetView zoomScale="130" zoomScaleNormal="130" workbookViewId="0">
      <selection activeCell="D108" sqref="D108"/>
    </sheetView>
  </sheetViews>
  <sheetFormatPr defaultColWidth="8.85546875" defaultRowHeight="12" x14ac:dyDescent="0.2"/>
  <cols>
    <col min="1" max="1" width="40.28515625" style="31" customWidth="1"/>
    <col min="2" max="2" width="16" style="37" bestFit="1" customWidth="1"/>
    <col min="3" max="3" width="18.85546875" style="31" customWidth="1"/>
    <col min="4" max="5" width="15.7109375" style="27" customWidth="1"/>
    <col min="6" max="7" width="15.7109375" style="2" customWidth="1"/>
    <col min="8" max="8" width="11.28515625" style="2" bestFit="1" customWidth="1"/>
    <col min="9" max="16384" width="8.85546875" style="2"/>
  </cols>
  <sheetData>
    <row r="1" spans="1:7" x14ac:dyDescent="0.2">
      <c r="A1" s="24" t="s">
        <v>92</v>
      </c>
      <c r="B1" s="25" t="s">
        <v>93</v>
      </c>
      <c r="C1" s="26" t="s">
        <v>94</v>
      </c>
    </row>
    <row r="2" spans="1:7" x14ac:dyDescent="0.2">
      <c r="A2" s="24" t="s">
        <v>95</v>
      </c>
      <c r="B2" s="28" t="s">
        <v>351</v>
      </c>
      <c r="C2" s="29" t="s">
        <v>352</v>
      </c>
    </row>
    <row r="3" spans="1:7" x14ac:dyDescent="0.2">
      <c r="A3" s="24"/>
      <c r="B3" s="30" t="s">
        <v>353</v>
      </c>
      <c r="C3" s="29" t="s">
        <v>354</v>
      </c>
    </row>
    <row r="4" spans="1:7" x14ac:dyDescent="0.2">
      <c r="B4" s="30" t="s">
        <v>355</v>
      </c>
      <c r="C4" s="29" t="s">
        <v>356</v>
      </c>
    </row>
    <row r="5" spans="1:7" x14ac:dyDescent="0.2">
      <c r="B5" s="32" t="s">
        <v>357</v>
      </c>
      <c r="C5" s="33" t="s">
        <v>358</v>
      </c>
    </row>
    <row r="6" spans="1:7" x14ac:dyDescent="0.2">
      <c r="B6" s="34" t="s">
        <v>359</v>
      </c>
      <c r="C6" s="35"/>
    </row>
    <row r="7" spans="1:7" x14ac:dyDescent="0.2">
      <c r="A7" s="36" t="s">
        <v>96</v>
      </c>
      <c r="B7" s="32" t="s">
        <v>97</v>
      </c>
      <c r="C7" s="29" t="s">
        <v>262</v>
      </c>
    </row>
    <row r="8" spans="1:7" x14ac:dyDescent="0.2">
      <c r="B8" s="32" t="s">
        <v>98</v>
      </c>
      <c r="C8" s="29" t="s">
        <v>99</v>
      </c>
    </row>
    <row r="9" spans="1:7" x14ac:dyDescent="0.2">
      <c r="C9" s="29"/>
      <c r="D9" s="38" t="s">
        <v>100</v>
      </c>
    </row>
    <row r="10" spans="1:7" s="42" customFormat="1" x14ac:dyDescent="0.2">
      <c r="A10" s="26" t="s">
        <v>101</v>
      </c>
      <c r="B10" s="25" t="s">
        <v>102</v>
      </c>
      <c r="C10" s="26" t="s">
        <v>103</v>
      </c>
      <c r="D10" s="39">
        <v>46022</v>
      </c>
      <c r="E10" s="40" t="s">
        <v>104</v>
      </c>
      <c r="F10" s="41" t="s">
        <v>105</v>
      </c>
      <c r="G10" s="41" t="s">
        <v>106</v>
      </c>
    </row>
    <row r="11" spans="1:7" x14ac:dyDescent="0.2">
      <c r="A11" s="31" t="s">
        <v>256</v>
      </c>
      <c r="B11" s="37" t="s">
        <v>107</v>
      </c>
      <c r="C11" s="31" t="s">
        <v>108</v>
      </c>
      <c r="D11" s="43">
        <v>184224.68</v>
      </c>
      <c r="E11" s="43">
        <v>129896.94</v>
      </c>
      <c r="F11" s="43">
        <f>SUM(D11-E11)</f>
        <v>54327.739999999991</v>
      </c>
      <c r="G11" s="43"/>
    </row>
    <row r="12" spans="1:7" x14ac:dyDescent="0.2">
      <c r="A12" s="31" t="s">
        <v>259</v>
      </c>
      <c r="B12" s="37" t="s">
        <v>109</v>
      </c>
      <c r="C12" s="31" t="s">
        <v>110</v>
      </c>
      <c r="D12" s="43">
        <v>18830.3</v>
      </c>
      <c r="E12" s="43">
        <v>22455</v>
      </c>
      <c r="F12" s="43">
        <f>SUM(D12-E12)</f>
        <v>-3624.7000000000007</v>
      </c>
      <c r="G12" s="27"/>
    </row>
    <row r="13" spans="1:7" x14ac:dyDescent="0.2">
      <c r="A13" s="31" t="s">
        <v>260</v>
      </c>
      <c r="B13" s="37" t="s">
        <v>111</v>
      </c>
      <c r="C13" s="31" t="s">
        <v>108</v>
      </c>
      <c r="D13" s="43">
        <v>8316.6</v>
      </c>
      <c r="E13" s="43">
        <v>8317</v>
      </c>
      <c r="F13" s="43">
        <f t="shared" ref="F13:F76" si="0">SUM(D13-E13)</f>
        <v>-0.3999999999996362</v>
      </c>
      <c r="G13" s="43"/>
    </row>
    <row r="14" spans="1:7" x14ac:dyDescent="0.2">
      <c r="A14" s="31" t="s">
        <v>261</v>
      </c>
      <c r="B14" s="37" t="s">
        <v>112</v>
      </c>
      <c r="C14" s="31" t="s">
        <v>108</v>
      </c>
      <c r="D14" s="43">
        <v>100502.49</v>
      </c>
      <c r="E14" s="43">
        <v>76778.490000000005</v>
      </c>
      <c r="F14" s="43">
        <f t="shared" si="0"/>
        <v>23724</v>
      </c>
      <c r="G14" s="43"/>
    </row>
    <row r="15" spans="1:7" x14ac:dyDescent="0.2">
      <c r="A15" s="31" t="s">
        <v>257</v>
      </c>
      <c r="B15" s="37" t="s">
        <v>113</v>
      </c>
      <c r="C15" s="31" t="s">
        <v>110</v>
      </c>
      <c r="D15" s="43">
        <v>0</v>
      </c>
      <c r="E15" s="43">
        <v>0</v>
      </c>
      <c r="F15" s="43">
        <f t="shared" si="0"/>
        <v>0</v>
      </c>
      <c r="G15" s="27"/>
    </row>
    <row r="16" spans="1:7" x14ac:dyDescent="0.2">
      <c r="A16" s="31" t="s">
        <v>258</v>
      </c>
      <c r="B16" s="37" t="s">
        <v>114</v>
      </c>
      <c r="C16" s="31" t="s">
        <v>115</v>
      </c>
      <c r="D16" s="43">
        <v>0</v>
      </c>
      <c r="E16" s="43">
        <v>0</v>
      </c>
      <c r="F16" s="43">
        <f t="shared" si="0"/>
        <v>0</v>
      </c>
      <c r="G16" s="27"/>
    </row>
    <row r="17" spans="1:7" x14ac:dyDescent="0.2">
      <c r="A17" s="31" t="s">
        <v>263</v>
      </c>
      <c r="B17" s="37" t="s">
        <v>116</v>
      </c>
      <c r="C17" s="31" t="s">
        <v>117</v>
      </c>
      <c r="D17" s="43">
        <v>0</v>
      </c>
      <c r="E17" s="43">
        <v>0</v>
      </c>
      <c r="F17" s="43">
        <f t="shared" si="0"/>
        <v>0</v>
      </c>
      <c r="G17" s="27"/>
    </row>
    <row r="18" spans="1:7" x14ac:dyDescent="0.2">
      <c r="A18" s="31" t="s">
        <v>264</v>
      </c>
      <c r="B18" s="37" t="s">
        <v>118</v>
      </c>
      <c r="C18" s="31" t="s">
        <v>115</v>
      </c>
      <c r="D18" s="43">
        <v>5000</v>
      </c>
      <c r="E18" s="43">
        <v>0</v>
      </c>
      <c r="F18" s="43">
        <f t="shared" si="0"/>
        <v>5000</v>
      </c>
      <c r="G18" s="43"/>
    </row>
    <row r="19" spans="1:7" x14ac:dyDescent="0.2">
      <c r="A19" s="31" t="s">
        <v>265</v>
      </c>
      <c r="B19" s="37" t="s">
        <v>119</v>
      </c>
      <c r="C19" s="31" t="s">
        <v>108</v>
      </c>
      <c r="D19" s="43">
        <v>6356</v>
      </c>
      <c r="E19" s="43">
        <v>0</v>
      </c>
      <c r="F19" s="43">
        <f t="shared" si="0"/>
        <v>6356</v>
      </c>
      <c r="G19" s="27"/>
    </row>
    <row r="20" spans="1:7" x14ac:dyDescent="0.2">
      <c r="A20" s="31" t="s">
        <v>266</v>
      </c>
      <c r="B20" s="37" t="s">
        <v>120</v>
      </c>
      <c r="C20" s="31" t="s">
        <v>121</v>
      </c>
      <c r="D20" s="43">
        <v>6628.96</v>
      </c>
      <c r="E20" s="43">
        <v>6595.82</v>
      </c>
      <c r="F20" s="43">
        <f t="shared" si="0"/>
        <v>33.140000000000327</v>
      </c>
      <c r="G20" s="43"/>
    </row>
    <row r="21" spans="1:7" x14ac:dyDescent="0.2">
      <c r="A21" s="31" t="s">
        <v>267</v>
      </c>
      <c r="B21" s="37" t="s">
        <v>122</v>
      </c>
      <c r="C21" s="31" t="s">
        <v>110</v>
      </c>
      <c r="D21" s="43">
        <v>210.88</v>
      </c>
      <c r="E21" s="43">
        <v>210.88</v>
      </c>
      <c r="F21" s="43">
        <f t="shared" si="0"/>
        <v>0</v>
      </c>
      <c r="G21" s="43"/>
    </row>
    <row r="22" spans="1:7" x14ac:dyDescent="0.2">
      <c r="A22" s="31" t="s">
        <v>268</v>
      </c>
      <c r="B22" s="37" t="s">
        <v>123</v>
      </c>
      <c r="C22" s="31" t="s">
        <v>110</v>
      </c>
      <c r="D22" s="43">
        <v>0</v>
      </c>
      <c r="E22" s="43">
        <v>0</v>
      </c>
      <c r="F22" s="43">
        <f t="shared" si="0"/>
        <v>0</v>
      </c>
      <c r="G22" s="43"/>
    </row>
    <row r="23" spans="1:7" x14ac:dyDescent="0.2">
      <c r="A23" s="31" t="s">
        <v>269</v>
      </c>
      <c r="B23" s="37" t="s">
        <v>124</v>
      </c>
      <c r="C23" s="31" t="s">
        <v>110</v>
      </c>
      <c r="D23" s="43">
        <v>45951.18</v>
      </c>
      <c r="E23" s="43">
        <v>37607.379999999997</v>
      </c>
      <c r="F23" s="43">
        <f t="shared" si="0"/>
        <v>8343.8000000000029</v>
      </c>
      <c r="G23" s="43"/>
    </row>
    <row r="24" spans="1:7" x14ac:dyDescent="0.2">
      <c r="A24" s="31" t="s">
        <v>270</v>
      </c>
      <c r="B24" s="37" t="s">
        <v>125</v>
      </c>
      <c r="C24" s="31" t="s">
        <v>126</v>
      </c>
      <c r="D24" s="43">
        <v>681.08</v>
      </c>
      <c r="E24" s="43">
        <v>681.08</v>
      </c>
      <c r="F24" s="43">
        <f t="shared" si="0"/>
        <v>0</v>
      </c>
      <c r="G24" s="27"/>
    </row>
    <row r="25" spans="1:7" x14ac:dyDescent="0.2">
      <c r="A25" s="31" t="s">
        <v>271</v>
      </c>
      <c r="B25" s="37" t="s">
        <v>127</v>
      </c>
      <c r="C25" s="31" t="s">
        <v>108</v>
      </c>
      <c r="D25" s="43">
        <v>183915.47</v>
      </c>
      <c r="E25" s="44">
        <v>127826.09</v>
      </c>
      <c r="F25" s="43">
        <f t="shared" si="0"/>
        <v>56089.380000000005</v>
      </c>
      <c r="G25" s="43"/>
    </row>
    <row r="26" spans="1:7" x14ac:dyDescent="0.2">
      <c r="A26" s="31" t="s">
        <v>272</v>
      </c>
      <c r="B26" s="37" t="s">
        <v>128</v>
      </c>
      <c r="C26" s="31" t="s">
        <v>110</v>
      </c>
      <c r="D26" s="43">
        <v>16009</v>
      </c>
      <c r="E26" s="43">
        <v>16009</v>
      </c>
      <c r="F26" s="43">
        <f t="shared" si="0"/>
        <v>0</v>
      </c>
      <c r="G26" s="43"/>
    </row>
    <row r="27" spans="1:7" x14ac:dyDescent="0.2">
      <c r="A27" s="31" t="s">
        <v>273</v>
      </c>
      <c r="B27" s="37" t="s">
        <v>129</v>
      </c>
      <c r="C27" s="31" t="s">
        <v>110</v>
      </c>
      <c r="D27" s="43">
        <v>25011.93</v>
      </c>
      <c r="E27" s="43">
        <v>15442.11</v>
      </c>
      <c r="F27" s="43">
        <f t="shared" si="0"/>
        <v>9569.82</v>
      </c>
      <c r="G27" s="27"/>
    </row>
    <row r="28" spans="1:7" x14ac:dyDescent="0.2">
      <c r="A28" s="31" t="s">
        <v>274</v>
      </c>
      <c r="B28" s="37" t="s">
        <v>130</v>
      </c>
      <c r="C28" s="31" t="s">
        <v>110</v>
      </c>
      <c r="D28" s="43">
        <v>6188.54</v>
      </c>
      <c r="E28" s="43">
        <v>3868.04</v>
      </c>
      <c r="F28" s="43">
        <f t="shared" si="0"/>
        <v>2320.5</v>
      </c>
      <c r="G28" s="43"/>
    </row>
    <row r="29" spans="1:7" x14ac:dyDescent="0.2">
      <c r="A29" s="31" t="s">
        <v>275</v>
      </c>
      <c r="B29" s="37" t="s">
        <v>131</v>
      </c>
      <c r="C29" s="31" t="s">
        <v>110</v>
      </c>
      <c r="D29" s="43">
        <v>53517.52</v>
      </c>
      <c r="E29" s="43">
        <v>21427.200000000001</v>
      </c>
      <c r="F29" s="43">
        <f t="shared" si="0"/>
        <v>32090.319999999996</v>
      </c>
      <c r="G29" s="27">
        <v>12121.9</v>
      </c>
    </row>
    <row r="30" spans="1:7" x14ac:dyDescent="0.2">
      <c r="A30" s="31" t="s">
        <v>276</v>
      </c>
      <c r="B30" s="37" t="s">
        <v>132</v>
      </c>
      <c r="C30" s="31" t="s">
        <v>110</v>
      </c>
      <c r="D30" s="43">
        <v>0</v>
      </c>
      <c r="E30" s="43">
        <v>0</v>
      </c>
      <c r="F30" s="43">
        <f t="shared" si="0"/>
        <v>0</v>
      </c>
      <c r="G30" s="27"/>
    </row>
    <row r="31" spans="1:7" x14ac:dyDescent="0.2">
      <c r="A31" s="31" t="s">
        <v>277</v>
      </c>
      <c r="B31" s="37" t="s">
        <v>133</v>
      </c>
      <c r="C31" s="31" t="s">
        <v>134</v>
      </c>
      <c r="D31" s="43">
        <v>169713</v>
      </c>
      <c r="E31" s="43">
        <v>106132</v>
      </c>
      <c r="F31" s="43">
        <f t="shared" si="0"/>
        <v>63581</v>
      </c>
      <c r="G31" s="43"/>
    </row>
    <row r="32" spans="1:7" x14ac:dyDescent="0.2">
      <c r="A32" s="31" t="s">
        <v>278</v>
      </c>
      <c r="B32" s="37" t="s">
        <v>135</v>
      </c>
      <c r="C32" s="31" t="s">
        <v>110</v>
      </c>
      <c r="D32" s="43">
        <v>89278.26</v>
      </c>
      <c r="E32" s="44">
        <v>95337.32</v>
      </c>
      <c r="F32" s="43">
        <f t="shared" si="0"/>
        <v>-6059.0600000000122</v>
      </c>
      <c r="G32" s="43"/>
    </row>
    <row r="33" spans="1:8" x14ac:dyDescent="0.2">
      <c r="A33" s="31" t="s">
        <v>279</v>
      </c>
      <c r="B33" s="37" t="s">
        <v>136</v>
      </c>
      <c r="C33" s="31" t="s">
        <v>110</v>
      </c>
      <c r="D33" s="43">
        <v>551714.87</v>
      </c>
      <c r="E33" s="43">
        <v>256896</v>
      </c>
      <c r="F33" s="43">
        <f t="shared" si="0"/>
        <v>294818.87</v>
      </c>
      <c r="G33" s="43"/>
    </row>
    <row r="34" spans="1:8" x14ac:dyDescent="0.2">
      <c r="A34" s="31" t="s">
        <v>280</v>
      </c>
      <c r="B34" s="37" t="s">
        <v>137</v>
      </c>
      <c r="C34" s="31" t="s">
        <v>110</v>
      </c>
      <c r="D34" s="43">
        <v>0</v>
      </c>
      <c r="E34" s="43">
        <v>0</v>
      </c>
      <c r="F34" s="43">
        <f t="shared" si="0"/>
        <v>0</v>
      </c>
      <c r="G34" s="27"/>
    </row>
    <row r="35" spans="1:8" x14ac:dyDescent="0.2">
      <c r="A35" s="31" t="s">
        <v>281</v>
      </c>
      <c r="B35" s="37" t="s">
        <v>138</v>
      </c>
      <c r="C35" s="31" t="s">
        <v>139</v>
      </c>
      <c r="D35" s="43">
        <v>0</v>
      </c>
      <c r="E35" s="43">
        <v>0</v>
      </c>
      <c r="F35" s="43">
        <f t="shared" si="0"/>
        <v>0</v>
      </c>
      <c r="G35" s="43"/>
    </row>
    <row r="36" spans="1:8" x14ac:dyDescent="0.2">
      <c r="A36" s="31" t="s">
        <v>282</v>
      </c>
      <c r="B36" s="37" t="s">
        <v>140</v>
      </c>
      <c r="C36" s="31" t="s">
        <v>108</v>
      </c>
      <c r="D36" s="43">
        <v>0</v>
      </c>
      <c r="E36" s="43">
        <v>0</v>
      </c>
      <c r="F36" s="43">
        <f t="shared" si="0"/>
        <v>0</v>
      </c>
      <c r="G36" s="27"/>
    </row>
    <row r="37" spans="1:8" x14ac:dyDescent="0.2">
      <c r="A37" s="31" t="s">
        <v>283</v>
      </c>
      <c r="B37" s="37" t="s">
        <v>141</v>
      </c>
      <c r="C37" s="31" t="s">
        <v>108</v>
      </c>
      <c r="D37" s="43">
        <v>3181.73</v>
      </c>
      <c r="E37" s="44">
        <v>2826.73</v>
      </c>
      <c r="F37" s="43">
        <f t="shared" si="0"/>
        <v>355</v>
      </c>
      <c r="G37" s="27"/>
    </row>
    <row r="38" spans="1:8" x14ac:dyDescent="0.2">
      <c r="A38" s="31" t="s">
        <v>284</v>
      </c>
      <c r="B38" s="37" t="s">
        <v>142</v>
      </c>
      <c r="C38" s="31" t="s">
        <v>139</v>
      </c>
      <c r="D38" s="43">
        <v>8182.39</v>
      </c>
      <c r="E38" s="43">
        <v>7167.19</v>
      </c>
      <c r="F38" s="43">
        <f t="shared" si="0"/>
        <v>1015.2000000000007</v>
      </c>
      <c r="G38" s="27"/>
    </row>
    <row r="39" spans="1:8" x14ac:dyDescent="0.2">
      <c r="A39" s="31" t="s">
        <v>285</v>
      </c>
      <c r="B39" s="37" t="s">
        <v>143</v>
      </c>
      <c r="C39" s="31" t="s">
        <v>139</v>
      </c>
      <c r="D39" s="43">
        <v>0</v>
      </c>
      <c r="E39" s="43">
        <v>0</v>
      </c>
      <c r="F39" s="43">
        <f t="shared" si="0"/>
        <v>0</v>
      </c>
      <c r="G39" s="27"/>
    </row>
    <row r="40" spans="1:8" x14ac:dyDescent="0.2">
      <c r="A40" s="31" t="s">
        <v>286</v>
      </c>
      <c r="B40" s="37" t="s">
        <v>144</v>
      </c>
      <c r="C40" s="31" t="s">
        <v>108</v>
      </c>
      <c r="D40" s="43">
        <v>51879.77</v>
      </c>
      <c r="E40" s="43">
        <v>34065.42</v>
      </c>
      <c r="F40" s="43">
        <f t="shared" si="0"/>
        <v>17814.349999999999</v>
      </c>
      <c r="G40" s="43"/>
    </row>
    <row r="41" spans="1:8" x14ac:dyDescent="0.2">
      <c r="A41" s="31" t="s">
        <v>287</v>
      </c>
      <c r="B41" s="37" t="s">
        <v>145</v>
      </c>
      <c r="C41" s="31" t="s">
        <v>146</v>
      </c>
      <c r="D41" s="43">
        <v>3835.1</v>
      </c>
      <c r="E41" s="43">
        <v>0</v>
      </c>
      <c r="F41" s="43">
        <f t="shared" si="0"/>
        <v>3835.1</v>
      </c>
      <c r="G41" s="27"/>
    </row>
    <row r="42" spans="1:8" x14ac:dyDescent="0.2">
      <c r="A42" s="31" t="s">
        <v>288</v>
      </c>
      <c r="B42" s="37" t="s">
        <v>147</v>
      </c>
      <c r="C42" s="31" t="s">
        <v>148</v>
      </c>
      <c r="D42" s="43">
        <v>2130.77</v>
      </c>
      <c r="E42" s="43">
        <v>0</v>
      </c>
      <c r="F42" s="43">
        <f t="shared" si="0"/>
        <v>2130.77</v>
      </c>
      <c r="G42" s="27"/>
      <c r="H42" s="2" t="s">
        <v>149</v>
      </c>
    </row>
    <row r="43" spans="1:8" x14ac:dyDescent="0.2">
      <c r="A43" s="31" t="s">
        <v>289</v>
      </c>
      <c r="B43" s="37" t="s">
        <v>150</v>
      </c>
      <c r="C43" s="31" t="s">
        <v>148</v>
      </c>
      <c r="D43" s="43">
        <v>17026.88</v>
      </c>
      <c r="E43" s="43">
        <v>16902.05</v>
      </c>
      <c r="F43" s="43">
        <f t="shared" si="0"/>
        <v>124.83000000000175</v>
      </c>
      <c r="G43" s="27"/>
      <c r="H43" s="2" t="s">
        <v>149</v>
      </c>
    </row>
    <row r="44" spans="1:8" x14ac:dyDescent="0.2">
      <c r="A44" s="31" t="s">
        <v>290</v>
      </c>
      <c r="B44" s="37" t="s">
        <v>151</v>
      </c>
      <c r="C44" s="31" t="s">
        <v>148</v>
      </c>
      <c r="D44" s="43">
        <v>128237.92</v>
      </c>
      <c r="E44" s="43">
        <v>100286.56</v>
      </c>
      <c r="F44" s="43">
        <f t="shared" si="0"/>
        <v>27951.360000000001</v>
      </c>
      <c r="G44" s="43"/>
    </row>
    <row r="45" spans="1:8" x14ac:dyDescent="0.2">
      <c r="A45" s="31" t="s">
        <v>291</v>
      </c>
      <c r="B45" s="37" t="s">
        <v>152</v>
      </c>
      <c r="C45" s="31" t="s">
        <v>146</v>
      </c>
      <c r="D45" s="43">
        <v>0</v>
      </c>
      <c r="E45" s="43">
        <v>0</v>
      </c>
      <c r="F45" s="43">
        <f t="shared" si="0"/>
        <v>0</v>
      </c>
      <c r="G45" s="27"/>
    </row>
    <row r="46" spans="1:8" x14ac:dyDescent="0.2">
      <c r="A46" s="31" t="s">
        <v>292</v>
      </c>
      <c r="B46" s="37" t="s">
        <v>153</v>
      </c>
      <c r="C46" s="31" t="s">
        <v>148</v>
      </c>
      <c r="D46" s="43">
        <v>38630</v>
      </c>
      <c r="E46" s="43">
        <v>0</v>
      </c>
      <c r="F46" s="43">
        <f t="shared" si="0"/>
        <v>38630</v>
      </c>
      <c r="G46" s="27"/>
      <c r="H46" s="2" t="s">
        <v>154</v>
      </c>
    </row>
    <row r="47" spans="1:8" x14ac:dyDescent="0.2">
      <c r="A47" s="31" t="s">
        <v>293</v>
      </c>
      <c r="B47" s="37" t="s">
        <v>155</v>
      </c>
      <c r="C47" s="31" t="s">
        <v>146</v>
      </c>
      <c r="D47" s="43">
        <v>70447</v>
      </c>
      <c r="E47" s="43">
        <v>21320</v>
      </c>
      <c r="F47" s="43">
        <f t="shared" si="0"/>
        <v>49127</v>
      </c>
      <c r="G47" s="27"/>
    </row>
    <row r="48" spans="1:8" x14ac:dyDescent="0.2">
      <c r="A48" s="31" t="s">
        <v>294</v>
      </c>
      <c r="B48" s="37" t="s">
        <v>156</v>
      </c>
      <c r="C48" s="31" t="s">
        <v>115</v>
      </c>
      <c r="D48" s="43">
        <v>0</v>
      </c>
      <c r="E48" s="43">
        <v>0</v>
      </c>
      <c r="F48" s="43">
        <f t="shared" si="0"/>
        <v>0</v>
      </c>
      <c r="G48" s="27"/>
    </row>
    <row r="49" spans="1:7" x14ac:dyDescent="0.2">
      <c r="A49" s="31" t="s">
        <v>295</v>
      </c>
      <c r="B49" s="37" t="s">
        <v>157</v>
      </c>
      <c r="C49" s="31" t="s">
        <v>158</v>
      </c>
      <c r="D49" s="44">
        <v>332724.83</v>
      </c>
      <c r="E49" s="44">
        <v>20000</v>
      </c>
      <c r="F49" s="44">
        <f t="shared" si="0"/>
        <v>312724.83</v>
      </c>
      <c r="G49" s="27">
        <v>52000</v>
      </c>
    </row>
    <row r="50" spans="1:7" x14ac:dyDescent="0.2">
      <c r="A50" s="31" t="s">
        <v>296</v>
      </c>
      <c r="B50" s="37" t="s">
        <v>159</v>
      </c>
      <c r="C50" s="31" t="s">
        <v>110</v>
      </c>
      <c r="D50" s="43">
        <v>0</v>
      </c>
      <c r="E50" s="43">
        <v>0</v>
      </c>
      <c r="F50" s="43">
        <f t="shared" si="0"/>
        <v>0</v>
      </c>
      <c r="G50" s="27"/>
    </row>
    <row r="51" spans="1:7" x14ac:dyDescent="0.2">
      <c r="A51" s="31" t="s">
        <v>297</v>
      </c>
      <c r="B51" s="37" t="s">
        <v>160</v>
      </c>
      <c r="C51" s="31" t="s">
        <v>110</v>
      </c>
      <c r="D51" s="43">
        <v>0</v>
      </c>
      <c r="E51" s="43">
        <v>0</v>
      </c>
      <c r="F51" s="43">
        <f t="shared" si="0"/>
        <v>0</v>
      </c>
      <c r="G51" s="27"/>
    </row>
    <row r="52" spans="1:7" x14ac:dyDescent="0.2">
      <c r="A52" s="31" t="s">
        <v>298</v>
      </c>
      <c r="B52" s="37" t="s">
        <v>161</v>
      </c>
      <c r="C52" s="31" t="s">
        <v>110</v>
      </c>
      <c r="D52" s="43">
        <v>0</v>
      </c>
      <c r="E52" s="43">
        <v>0</v>
      </c>
      <c r="F52" s="43">
        <f t="shared" si="0"/>
        <v>0</v>
      </c>
      <c r="G52" s="27"/>
    </row>
    <row r="53" spans="1:7" x14ac:dyDescent="0.2">
      <c r="A53" s="31" t="s">
        <v>299</v>
      </c>
      <c r="B53" s="37" t="s">
        <v>162</v>
      </c>
      <c r="C53" s="31" t="s">
        <v>163</v>
      </c>
      <c r="D53" s="43">
        <v>0</v>
      </c>
      <c r="E53" s="43">
        <v>0</v>
      </c>
      <c r="F53" s="43">
        <f t="shared" si="0"/>
        <v>0</v>
      </c>
      <c r="G53" s="27"/>
    </row>
    <row r="54" spans="1:7" x14ac:dyDescent="0.2">
      <c r="A54" s="31" t="s">
        <v>300</v>
      </c>
      <c r="B54" s="37" t="s">
        <v>164</v>
      </c>
      <c r="C54" s="31" t="s">
        <v>110</v>
      </c>
      <c r="D54" s="43">
        <v>46655</v>
      </c>
      <c r="E54" s="43">
        <v>2226</v>
      </c>
      <c r="F54" s="43">
        <f t="shared" si="0"/>
        <v>44429</v>
      </c>
      <c r="G54" s="43"/>
    </row>
    <row r="55" spans="1:7" x14ac:dyDescent="0.2">
      <c r="A55" s="31" t="s">
        <v>301</v>
      </c>
      <c r="B55" s="37" t="s">
        <v>165</v>
      </c>
      <c r="C55" s="31" t="s">
        <v>115</v>
      </c>
      <c r="D55" s="43">
        <v>219.55</v>
      </c>
      <c r="E55" s="43">
        <v>219.55</v>
      </c>
      <c r="F55" s="43">
        <f t="shared" si="0"/>
        <v>0</v>
      </c>
      <c r="G55" s="27"/>
    </row>
    <row r="56" spans="1:7" x14ac:dyDescent="0.2">
      <c r="A56" s="31" t="s">
        <v>302</v>
      </c>
      <c r="B56" s="37" t="s">
        <v>166</v>
      </c>
      <c r="C56" s="31" t="s">
        <v>115</v>
      </c>
      <c r="D56" s="43">
        <v>0</v>
      </c>
      <c r="E56" s="43">
        <v>0</v>
      </c>
      <c r="F56" s="43">
        <f t="shared" si="0"/>
        <v>0</v>
      </c>
      <c r="G56" s="27"/>
    </row>
    <row r="57" spans="1:7" x14ac:dyDescent="0.2">
      <c r="A57" s="31" t="s">
        <v>303</v>
      </c>
      <c r="B57" s="37" t="s">
        <v>167</v>
      </c>
      <c r="C57" s="31" t="s">
        <v>115</v>
      </c>
      <c r="D57" s="43">
        <v>0</v>
      </c>
      <c r="E57" s="43">
        <v>0</v>
      </c>
      <c r="F57" s="43">
        <f t="shared" si="0"/>
        <v>0</v>
      </c>
      <c r="G57" s="27"/>
    </row>
    <row r="58" spans="1:7" x14ac:dyDescent="0.2">
      <c r="A58" s="31" t="s">
        <v>304</v>
      </c>
      <c r="B58" s="37" t="s">
        <v>168</v>
      </c>
      <c r="C58" s="31" t="s">
        <v>115</v>
      </c>
      <c r="D58" s="43">
        <v>0</v>
      </c>
      <c r="E58" s="43">
        <v>0</v>
      </c>
      <c r="F58" s="43">
        <f t="shared" si="0"/>
        <v>0</v>
      </c>
      <c r="G58" s="27"/>
    </row>
    <row r="59" spans="1:7" x14ac:dyDescent="0.2">
      <c r="A59" s="31" t="s">
        <v>305</v>
      </c>
      <c r="B59" s="37" t="s">
        <v>169</v>
      </c>
      <c r="C59" s="31" t="s">
        <v>170</v>
      </c>
      <c r="D59" s="43">
        <v>0</v>
      </c>
      <c r="E59" s="43">
        <v>0</v>
      </c>
      <c r="F59" s="43">
        <f t="shared" si="0"/>
        <v>0</v>
      </c>
      <c r="G59" s="27"/>
    </row>
    <row r="60" spans="1:7" x14ac:dyDescent="0.2">
      <c r="A60" s="31" t="s">
        <v>306</v>
      </c>
      <c r="B60" s="37" t="s">
        <v>171</v>
      </c>
      <c r="C60" s="31" t="s">
        <v>115</v>
      </c>
      <c r="D60" s="43">
        <v>0</v>
      </c>
      <c r="E60" s="43">
        <v>0</v>
      </c>
      <c r="F60" s="43">
        <f t="shared" si="0"/>
        <v>0</v>
      </c>
      <c r="G60" s="43"/>
    </row>
    <row r="61" spans="1:7" x14ac:dyDescent="0.2">
      <c r="A61" s="31" t="s">
        <v>307</v>
      </c>
      <c r="B61" s="37" t="s">
        <v>172</v>
      </c>
      <c r="C61" s="31" t="s">
        <v>115</v>
      </c>
      <c r="D61" s="43">
        <v>23969.84</v>
      </c>
      <c r="E61" s="43">
        <v>10510.69</v>
      </c>
      <c r="F61" s="43">
        <f t="shared" si="0"/>
        <v>13459.15</v>
      </c>
      <c r="G61" s="27"/>
    </row>
    <row r="62" spans="1:7" x14ac:dyDescent="0.2">
      <c r="A62" s="31" t="s">
        <v>308</v>
      </c>
      <c r="B62" s="37" t="s">
        <v>173</v>
      </c>
      <c r="C62" s="31" t="s">
        <v>115</v>
      </c>
      <c r="D62" s="43">
        <v>0</v>
      </c>
      <c r="E62" s="43">
        <v>0</v>
      </c>
      <c r="F62" s="43">
        <f t="shared" si="0"/>
        <v>0</v>
      </c>
      <c r="G62" s="27"/>
    </row>
    <row r="63" spans="1:7" x14ac:dyDescent="0.2">
      <c r="A63" s="31" t="s">
        <v>309</v>
      </c>
      <c r="B63" s="37" t="s">
        <v>174</v>
      </c>
      <c r="C63" s="31" t="s">
        <v>175</v>
      </c>
      <c r="D63" s="44">
        <v>1571</v>
      </c>
      <c r="E63" s="44">
        <v>0</v>
      </c>
      <c r="F63" s="44">
        <f t="shared" si="0"/>
        <v>1571</v>
      </c>
      <c r="G63" s="27">
        <v>573.5</v>
      </c>
    </row>
    <row r="64" spans="1:7" x14ac:dyDescent="0.2">
      <c r="A64" s="31" t="s">
        <v>310</v>
      </c>
      <c r="B64" s="37" t="s">
        <v>176</v>
      </c>
      <c r="C64" s="31" t="s">
        <v>175</v>
      </c>
      <c r="D64" s="44">
        <v>-4669.33</v>
      </c>
      <c r="E64" s="44">
        <v>0</v>
      </c>
      <c r="F64" s="44">
        <f t="shared" si="0"/>
        <v>-4669.33</v>
      </c>
      <c r="G64" s="27"/>
    </row>
    <row r="65" spans="1:7" x14ac:dyDescent="0.2">
      <c r="A65" s="31" t="s">
        <v>311</v>
      </c>
      <c r="B65" s="37" t="s">
        <v>177</v>
      </c>
      <c r="C65" s="31" t="s">
        <v>175</v>
      </c>
      <c r="D65" s="44">
        <v>17931.54</v>
      </c>
      <c r="E65" s="44">
        <v>17898.650000000001</v>
      </c>
      <c r="F65" s="44">
        <f t="shared" si="0"/>
        <v>32.889999999999418</v>
      </c>
      <c r="G65" s="27"/>
    </row>
    <row r="66" spans="1:7" x14ac:dyDescent="0.2">
      <c r="A66" s="31" t="s">
        <v>312</v>
      </c>
      <c r="B66" s="37" t="s">
        <v>178</v>
      </c>
      <c r="C66" s="31" t="s">
        <v>175</v>
      </c>
      <c r="D66" s="44">
        <v>3463.48</v>
      </c>
      <c r="E66" s="44">
        <v>913.48</v>
      </c>
      <c r="F66" s="44">
        <f t="shared" si="0"/>
        <v>2550</v>
      </c>
      <c r="G66" s="27"/>
    </row>
    <row r="67" spans="1:7" x14ac:dyDescent="0.2">
      <c r="A67" s="31" t="s">
        <v>313</v>
      </c>
      <c r="B67" s="37" t="s">
        <v>179</v>
      </c>
      <c r="C67" s="31" t="s">
        <v>175</v>
      </c>
      <c r="D67" s="44">
        <v>37074.35</v>
      </c>
      <c r="E67" s="44">
        <v>30888.32</v>
      </c>
      <c r="F67" s="44">
        <f t="shared" si="0"/>
        <v>6186.0299999999988</v>
      </c>
      <c r="G67" s="27"/>
    </row>
    <row r="68" spans="1:7" x14ac:dyDescent="0.2">
      <c r="A68" s="31" t="s">
        <v>314</v>
      </c>
      <c r="B68" s="37" t="s">
        <v>180</v>
      </c>
      <c r="C68" s="31" t="s">
        <v>110</v>
      </c>
      <c r="D68" s="43">
        <v>0</v>
      </c>
      <c r="E68" s="43">
        <v>0</v>
      </c>
      <c r="F68" s="43">
        <f t="shared" si="0"/>
        <v>0</v>
      </c>
      <c r="G68" s="27"/>
    </row>
    <row r="69" spans="1:7" x14ac:dyDescent="0.2">
      <c r="A69" s="31" t="s">
        <v>315</v>
      </c>
      <c r="B69" s="37" t="s">
        <v>181</v>
      </c>
      <c r="C69" s="31" t="s">
        <v>110</v>
      </c>
      <c r="D69" s="43">
        <v>43470</v>
      </c>
      <c r="E69" s="43">
        <v>36180.400000000001</v>
      </c>
      <c r="F69" s="43">
        <f t="shared" si="0"/>
        <v>7289.5999999999985</v>
      </c>
      <c r="G69" s="27"/>
    </row>
    <row r="70" spans="1:7" x14ac:dyDescent="0.2">
      <c r="A70" s="31" t="s">
        <v>316</v>
      </c>
      <c r="B70" s="37" t="s">
        <v>182</v>
      </c>
      <c r="C70" s="31" t="s">
        <v>110</v>
      </c>
      <c r="D70" s="43">
        <v>0</v>
      </c>
      <c r="E70" s="43">
        <v>0</v>
      </c>
      <c r="F70" s="43">
        <f t="shared" si="0"/>
        <v>0</v>
      </c>
      <c r="G70" s="27"/>
    </row>
    <row r="71" spans="1:7" x14ac:dyDescent="0.2">
      <c r="A71" s="31" t="s">
        <v>317</v>
      </c>
      <c r="B71" s="37" t="s">
        <v>183</v>
      </c>
      <c r="C71" s="31" t="s">
        <v>110</v>
      </c>
      <c r="D71" s="43">
        <v>0</v>
      </c>
      <c r="E71" s="43">
        <v>0</v>
      </c>
      <c r="F71" s="43">
        <f t="shared" si="0"/>
        <v>0</v>
      </c>
      <c r="G71" s="27"/>
    </row>
    <row r="72" spans="1:7" x14ac:dyDescent="0.2">
      <c r="A72" s="31" t="s">
        <v>318</v>
      </c>
      <c r="B72" s="37" t="s">
        <v>184</v>
      </c>
      <c r="C72" s="31" t="s">
        <v>110</v>
      </c>
      <c r="D72" s="43">
        <v>464543.49</v>
      </c>
      <c r="E72" s="43">
        <v>203162</v>
      </c>
      <c r="F72" s="43">
        <f t="shared" si="0"/>
        <v>261381.49</v>
      </c>
      <c r="G72" s="43"/>
    </row>
    <row r="73" spans="1:7" x14ac:dyDescent="0.2">
      <c r="A73" s="31" t="s">
        <v>319</v>
      </c>
      <c r="B73" s="37" t="s">
        <v>185</v>
      </c>
      <c r="C73" s="31" t="s">
        <v>186</v>
      </c>
      <c r="D73" s="44">
        <v>0</v>
      </c>
      <c r="E73" s="44">
        <v>0</v>
      </c>
      <c r="F73" s="43">
        <f t="shared" si="0"/>
        <v>0</v>
      </c>
      <c r="G73" s="27"/>
    </row>
    <row r="74" spans="1:7" x14ac:dyDescent="0.2">
      <c r="A74" s="31" t="s">
        <v>320</v>
      </c>
      <c r="B74" s="37" t="s">
        <v>187</v>
      </c>
      <c r="C74" s="31" t="s">
        <v>110</v>
      </c>
      <c r="D74" s="43">
        <v>1487.21</v>
      </c>
      <c r="E74" s="43">
        <v>1487.21</v>
      </c>
      <c r="F74" s="43">
        <f t="shared" si="0"/>
        <v>0</v>
      </c>
      <c r="G74" s="27"/>
    </row>
    <row r="75" spans="1:7" x14ac:dyDescent="0.2">
      <c r="A75" s="31" t="s">
        <v>321</v>
      </c>
      <c r="B75" s="37" t="s">
        <v>188</v>
      </c>
      <c r="C75" s="31" t="s">
        <v>108</v>
      </c>
      <c r="D75" s="43">
        <v>598.44000000000005</v>
      </c>
      <c r="E75" s="43">
        <v>425.94</v>
      </c>
      <c r="F75" s="43">
        <f t="shared" si="0"/>
        <v>172.50000000000006</v>
      </c>
      <c r="G75" s="27"/>
    </row>
    <row r="76" spans="1:7" x14ac:dyDescent="0.2">
      <c r="A76" s="31" t="s">
        <v>322</v>
      </c>
      <c r="B76" s="37" t="s">
        <v>189</v>
      </c>
      <c r="C76" s="31" t="s">
        <v>108</v>
      </c>
      <c r="D76" s="43">
        <v>57516.62</v>
      </c>
      <c r="E76" s="43">
        <v>25957.67</v>
      </c>
      <c r="F76" s="43">
        <f t="shared" si="0"/>
        <v>31558.950000000004</v>
      </c>
      <c r="G76" s="43"/>
    </row>
    <row r="77" spans="1:7" x14ac:dyDescent="0.2">
      <c r="A77" s="31" t="s">
        <v>323</v>
      </c>
      <c r="B77" s="37" t="s">
        <v>190</v>
      </c>
      <c r="C77" s="31" t="s">
        <v>163</v>
      </c>
      <c r="D77" s="43">
        <v>315390.87</v>
      </c>
      <c r="E77" s="43">
        <v>238854.81</v>
      </c>
      <c r="F77" s="43">
        <f t="shared" ref="F77:F99" si="1">SUM(D77-E77)</f>
        <v>76536.06</v>
      </c>
      <c r="G77" s="27"/>
    </row>
    <row r="78" spans="1:7" x14ac:dyDescent="0.2">
      <c r="A78" s="31" t="s">
        <v>324</v>
      </c>
      <c r="B78" s="37" t="s">
        <v>191</v>
      </c>
      <c r="C78" s="31" t="s">
        <v>163</v>
      </c>
      <c r="D78" s="43">
        <v>500133.42</v>
      </c>
      <c r="E78" s="43">
        <v>24750</v>
      </c>
      <c r="F78" s="43">
        <f t="shared" si="1"/>
        <v>475383.42</v>
      </c>
      <c r="G78" s="27"/>
    </row>
    <row r="79" spans="1:7" x14ac:dyDescent="0.2">
      <c r="A79" s="31" t="s">
        <v>325</v>
      </c>
      <c r="B79" s="37" t="s">
        <v>192</v>
      </c>
      <c r="C79" s="31" t="s">
        <v>163</v>
      </c>
      <c r="D79" s="43">
        <v>55148.05</v>
      </c>
      <c r="E79" s="43">
        <v>13011.75</v>
      </c>
      <c r="F79" s="43">
        <f t="shared" si="1"/>
        <v>42136.3</v>
      </c>
      <c r="G79" s="27"/>
    </row>
    <row r="80" spans="1:7" x14ac:dyDescent="0.2">
      <c r="A80" s="31" t="s">
        <v>326</v>
      </c>
      <c r="B80" s="37" t="s">
        <v>193</v>
      </c>
      <c r="C80" s="31" t="s">
        <v>163</v>
      </c>
      <c r="D80" s="43">
        <v>4760.6400000000003</v>
      </c>
      <c r="E80" s="43">
        <v>4760.6400000000003</v>
      </c>
      <c r="F80" s="43">
        <f t="shared" si="1"/>
        <v>0</v>
      </c>
      <c r="G80" s="27"/>
    </row>
    <row r="81" spans="1:8" x14ac:dyDescent="0.2">
      <c r="A81" s="31" t="s">
        <v>327</v>
      </c>
      <c r="B81" s="37" t="s">
        <v>194</v>
      </c>
      <c r="C81" s="31" t="s">
        <v>115</v>
      </c>
      <c r="D81" s="44">
        <v>3736.54</v>
      </c>
      <c r="E81" s="44">
        <v>327.33999999999997</v>
      </c>
      <c r="F81" s="44">
        <f t="shared" si="1"/>
        <v>3409.2</v>
      </c>
      <c r="G81" s="44"/>
    </row>
    <row r="82" spans="1:8" x14ac:dyDescent="0.2">
      <c r="A82" s="31" t="s">
        <v>328</v>
      </c>
      <c r="B82" s="37" t="s">
        <v>195</v>
      </c>
      <c r="C82" s="31" t="s">
        <v>115</v>
      </c>
      <c r="D82" s="44">
        <v>2477.75</v>
      </c>
      <c r="E82" s="44">
        <v>0</v>
      </c>
      <c r="F82" s="44">
        <f t="shared" si="1"/>
        <v>2477.75</v>
      </c>
      <c r="G82" s="44"/>
    </row>
    <row r="83" spans="1:8" x14ac:dyDescent="0.2">
      <c r="A83" s="31" t="s">
        <v>329</v>
      </c>
      <c r="B83" s="37" t="s">
        <v>196</v>
      </c>
      <c r="C83" s="31" t="s">
        <v>110</v>
      </c>
      <c r="D83" s="43">
        <v>24017.1</v>
      </c>
      <c r="E83" s="43">
        <v>9755</v>
      </c>
      <c r="F83" s="43">
        <f t="shared" si="1"/>
        <v>14262.099999999999</v>
      </c>
      <c r="G83" s="27"/>
    </row>
    <row r="84" spans="1:8" x14ac:dyDescent="0.2">
      <c r="A84" s="31" t="s">
        <v>330</v>
      </c>
      <c r="B84" s="37" t="s">
        <v>197</v>
      </c>
      <c r="C84" s="31" t="s">
        <v>139</v>
      </c>
      <c r="D84" s="43">
        <v>0</v>
      </c>
      <c r="E84" s="43">
        <v>0</v>
      </c>
      <c r="F84" s="43">
        <f t="shared" si="1"/>
        <v>0</v>
      </c>
      <c r="G84" s="43"/>
    </row>
    <row r="85" spans="1:8" x14ac:dyDescent="0.2">
      <c r="A85" s="31" t="s">
        <v>331</v>
      </c>
      <c r="B85" s="37" t="s">
        <v>198</v>
      </c>
      <c r="C85" s="31" t="s">
        <v>110</v>
      </c>
      <c r="D85" s="43">
        <v>1686.65</v>
      </c>
      <c r="E85" s="43">
        <v>907.55</v>
      </c>
      <c r="F85" s="43">
        <f t="shared" si="1"/>
        <v>779.10000000000014</v>
      </c>
      <c r="G85" s="27"/>
    </row>
    <row r="86" spans="1:8" x14ac:dyDescent="0.2">
      <c r="A86" s="31" t="s">
        <v>332</v>
      </c>
      <c r="B86" s="37" t="s">
        <v>199</v>
      </c>
      <c r="C86" s="31" t="s">
        <v>175</v>
      </c>
      <c r="D86" s="44">
        <v>37691.57</v>
      </c>
      <c r="E86" s="44">
        <v>35709.599999999999</v>
      </c>
      <c r="F86" s="44">
        <f t="shared" si="1"/>
        <v>1981.9700000000012</v>
      </c>
      <c r="G86" s="44"/>
      <c r="H86" s="44"/>
    </row>
    <row r="87" spans="1:8" x14ac:dyDescent="0.2">
      <c r="A87" s="31" t="s">
        <v>333</v>
      </c>
      <c r="B87" s="37" t="s">
        <v>200</v>
      </c>
      <c r="C87" s="31" t="s">
        <v>175</v>
      </c>
      <c r="D87" s="44">
        <v>3576</v>
      </c>
      <c r="E87" s="44">
        <v>0</v>
      </c>
      <c r="F87" s="44">
        <f t="shared" si="1"/>
        <v>3576</v>
      </c>
      <c r="G87" s="44"/>
    </row>
    <row r="88" spans="1:8" x14ac:dyDescent="0.2">
      <c r="A88" s="31" t="s">
        <v>334</v>
      </c>
      <c r="B88" s="37" t="s">
        <v>201</v>
      </c>
      <c r="C88" s="31" t="s">
        <v>108</v>
      </c>
      <c r="D88" s="43">
        <v>14784.38</v>
      </c>
      <c r="E88" s="43">
        <v>1701</v>
      </c>
      <c r="F88" s="43">
        <f t="shared" si="1"/>
        <v>13083.38</v>
      </c>
      <c r="G88" s="43"/>
    </row>
    <row r="89" spans="1:8" x14ac:dyDescent="0.2">
      <c r="A89" s="31" t="s">
        <v>335</v>
      </c>
      <c r="B89" s="37" t="s">
        <v>202</v>
      </c>
      <c r="C89" s="31" t="s">
        <v>108</v>
      </c>
      <c r="D89" s="43">
        <v>0</v>
      </c>
      <c r="E89" s="43">
        <v>0</v>
      </c>
      <c r="F89" s="43">
        <f t="shared" si="1"/>
        <v>0</v>
      </c>
      <c r="G89" s="27"/>
    </row>
    <row r="90" spans="1:8" x14ac:dyDescent="0.2">
      <c r="A90" s="31" t="s">
        <v>336</v>
      </c>
      <c r="B90" s="37" t="s">
        <v>203</v>
      </c>
      <c r="C90" s="31" t="s">
        <v>110</v>
      </c>
      <c r="D90" s="43">
        <v>166989.51</v>
      </c>
      <c r="E90" s="43">
        <v>36056.31</v>
      </c>
      <c r="F90" s="43">
        <f t="shared" si="1"/>
        <v>130933.20000000001</v>
      </c>
      <c r="G90" s="27"/>
    </row>
    <row r="91" spans="1:8" x14ac:dyDescent="0.2">
      <c r="A91" s="31" t="s">
        <v>337</v>
      </c>
      <c r="B91" s="37" t="s">
        <v>204</v>
      </c>
      <c r="C91" s="31" t="s">
        <v>110</v>
      </c>
      <c r="D91" s="43">
        <v>559300.56000000006</v>
      </c>
      <c r="E91" s="43">
        <v>297528.24</v>
      </c>
      <c r="F91" s="43">
        <f t="shared" si="1"/>
        <v>261772.32000000007</v>
      </c>
      <c r="G91" s="27"/>
    </row>
    <row r="92" spans="1:8" x14ac:dyDescent="0.2">
      <c r="A92" s="31" t="s">
        <v>338</v>
      </c>
      <c r="B92" s="37" t="s">
        <v>205</v>
      </c>
      <c r="C92" s="31" t="s">
        <v>115</v>
      </c>
      <c r="D92" s="43">
        <v>0</v>
      </c>
      <c r="E92" s="43">
        <v>0</v>
      </c>
      <c r="F92" s="43">
        <f t="shared" si="1"/>
        <v>0</v>
      </c>
      <c r="G92" s="27"/>
    </row>
    <row r="93" spans="1:8" x14ac:dyDescent="0.2">
      <c r="A93" s="31" t="s">
        <v>339</v>
      </c>
      <c r="B93" s="37" t="s">
        <v>206</v>
      </c>
      <c r="C93" s="31" t="s">
        <v>115</v>
      </c>
      <c r="D93" s="43">
        <v>9201.0400000000009</v>
      </c>
      <c r="E93" s="43">
        <v>5227</v>
      </c>
      <c r="F93" s="43">
        <f t="shared" si="1"/>
        <v>3974.0400000000009</v>
      </c>
      <c r="G93" s="27"/>
    </row>
    <row r="94" spans="1:8" x14ac:dyDescent="0.2">
      <c r="A94" s="31" t="s">
        <v>340</v>
      </c>
      <c r="B94" s="37" t="s">
        <v>207</v>
      </c>
      <c r="C94" s="31" t="s">
        <v>110</v>
      </c>
      <c r="D94" s="43">
        <v>0</v>
      </c>
      <c r="E94" s="43">
        <v>0</v>
      </c>
      <c r="F94" s="43">
        <f t="shared" si="1"/>
        <v>0</v>
      </c>
      <c r="G94" s="27"/>
    </row>
    <row r="95" spans="1:8" x14ac:dyDescent="0.2">
      <c r="A95" s="31" t="s">
        <v>341</v>
      </c>
      <c r="B95" s="37" t="s">
        <v>208</v>
      </c>
      <c r="C95" s="31" t="s">
        <v>108</v>
      </c>
      <c r="D95" s="43">
        <v>26025.7</v>
      </c>
      <c r="E95" s="43">
        <v>25880.59</v>
      </c>
      <c r="F95" s="43">
        <f t="shared" si="1"/>
        <v>145.11000000000058</v>
      </c>
      <c r="G95" s="43"/>
    </row>
    <row r="96" spans="1:8" x14ac:dyDescent="0.2">
      <c r="A96" s="31" t="s">
        <v>342</v>
      </c>
      <c r="B96" s="37" t="s">
        <v>209</v>
      </c>
      <c r="C96" s="31" t="s">
        <v>186</v>
      </c>
      <c r="D96" s="43">
        <v>13636</v>
      </c>
      <c r="E96" s="43">
        <v>0</v>
      </c>
      <c r="F96" s="43">
        <f t="shared" si="1"/>
        <v>13636</v>
      </c>
      <c r="G96" s="43"/>
    </row>
    <row r="97" spans="1:8" x14ac:dyDescent="0.2">
      <c r="A97" s="31" t="s">
        <v>343</v>
      </c>
      <c r="B97" s="37" t="s">
        <v>210</v>
      </c>
      <c r="C97" s="31" t="s">
        <v>110</v>
      </c>
      <c r="D97" s="43">
        <v>18915.650000000001</v>
      </c>
      <c r="E97" s="43">
        <v>8662.2000000000007</v>
      </c>
      <c r="F97" s="43">
        <f t="shared" si="1"/>
        <v>10253.450000000001</v>
      </c>
      <c r="G97" s="43"/>
    </row>
    <row r="98" spans="1:8" x14ac:dyDescent="0.2">
      <c r="A98" s="31" t="s">
        <v>344</v>
      </c>
      <c r="B98" s="37" t="s">
        <v>211</v>
      </c>
      <c r="C98" s="31" t="s">
        <v>148</v>
      </c>
      <c r="D98" s="43">
        <v>46234.35</v>
      </c>
      <c r="E98" s="43">
        <v>36172.589999999997</v>
      </c>
      <c r="F98" s="43">
        <f t="shared" si="1"/>
        <v>10061.760000000002</v>
      </c>
      <c r="G98" s="45"/>
      <c r="H98" s="2" t="s">
        <v>149</v>
      </c>
    </row>
    <row r="99" spans="1:8" x14ac:dyDescent="0.2">
      <c r="A99" s="31" t="s">
        <v>345</v>
      </c>
      <c r="B99" s="37" t="s">
        <v>212</v>
      </c>
      <c r="C99" s="31" t="s">
        <v>110</v>
      </c>
      <c r="D99" s="43">
        <v>331951.8</v>
      </c>
      <c r="E99" s="43">
        <v>198588.7</v>
      </c>
      <c r="F99" s="43">
        <f t="shared" si="1"/>
        <v>133363.09999999998</v>
      </c>
      <c r="G99" s="45"/>
    </row>
    <row r="100" spans="1:8" s="49" customFormat="1" x14ac:dyDescent="0.2">
      <c r="A100" s="46"/>
      <c r="B100" s="47"/>
      <c r="C100" s="46" t="s">
        <v>213</v>
      </c>
      <c r="D100" s="48">
        <f>SUM(D11:D99)</f>
        <v>4957815.919999999</v>
      </c>
      <c r="E100" s="48">
        <f>SUM(E11:E99)</f>
        <v>2395811.5300000003</v>
      </c>
      <c r="F100" s="48">
        <f>SUM(F11:F99)</f>
        <v>2562004.3899999997</v>
      </c>
      <c r="G100" s="48">
        <f>SUM(G11:G99)</f>
        <v>64695.4</v>
      </c>
    </row>
    <row r="101" spans="1:8" x14ac:dyDescent="0.2">
      <c r="C101" s="24"/>
      <c r="D101" s="50"/>
      <c r="E101" s="45"/>
      <c r="F101" s="51"/>
      <c r="G101" s="51"/>
    </row>
    <row r="102" spans="1:8" x14ac:dyDescent="0.2">
      <c r="B102" s="37" t="s">
        <v>214</v>
      </c>
    </row>
    <row r="103" spans="1:8" x14ac:dyDescent="0.2">
      <c r="A103" s="24" t="s">
        <v>360</v>
      </c>
      <c r="B103" s="52">
        <v>780895.11</v>
      </c>
      <c r="C103" s="52"/>
    </row>
    <row r="104" spans="1:8" x14ac:dyDescent="0.2">
      <c r="A104" s="26" t="s">
        <v>215</v>
      </c>
      <c r="B104" s="53">
        <v>419084.54</v>
      </c>
      <c r="C104" s="52"/>
    </row>
    <row r="105" spans="1:8" ht="12.75" thickBot="1" x14ac:dyDescent="0.25">
      <c r="A105" s="54" t="s">
        <v>216</v>
      </c>
      <c r="B105" s="55">
        <f>B103-B104</f>
        <v>361810.57</v>
      </c>
      <c r="C105" s="52"/>
    </row>
    <row r="106" spans="1:8" ht="12.75" thickTop="1" x14ac:dyDescent="0.2">
      <c r="A106" s="56"/>
    </row>
    <row r="107" spans="1:8" x14ac:dyDescent="0.2">
      <c r="A107" s="24" t="s">
        <v>217</v>
      </c>
      <c r="B107" s="57">
        <v>6740952.9900000002</v>
      </c>
      <c r="C107" s="52"/>
    </row>
    <row r="108" spans="1:8" x14ac:dyDescent="0.2">
      <c r="A108" s="24" t="s">
        <v>218</v>
      </c>
      <c r="B108" s="52">
        <f>1813.5+2852.45</f>
        <v>4665.95</v>
      </c>
      <c r="C108" s="52"/>
    </row>
    <row r="109" spans="1:8" x14ac:dyDescent="0.2">
      <c r="A109" s="24" t="s">
        <v>219</v>
      </c>
      <c r="B109" s="52">
        <f>F100</f>
        <v>2562004.3899999997</v>
      </c>
      <c r="C109" s="52"/>
    </row>
    <row r="110" spans="1:8" x14ac:dyDescent="0.2">
      <c r="A110" s="26" t="s">
        <v>220</v>
      </c>
      <c r="B110" s="53">
        <f>B105</f>
        <v>361810.57</v>
      </c>
      <c r="C110" s="52"/>
    </row>
    <row r="111" spans="1:8" x14ac:dyDescent="0.2">
      <c r="A111" s="54" t="s">
        <v>221</v>
      </c>
      <c r="B111" s="58">
        <f>B107-B109-B110-B108</f>
        <v>3812472.0800000005</v>
      </c>
      <c r="C111" s="59" t="s">
        <v>222</v>
      </c>
    </row>
    <row r="112" spans="1:8" x14ac:dyDescent="0.2">
      <c r="A112" s="24" t="s">
        <v>223</v>
      </c>
      <c r="B112" s="60">
        <f>G100</f>
        <v>64695.4</v>
      </c>
    </row>
    <row r="113" spans="1:3" x14ac:dyDescent="0.2">
      <c r="B113" s="61">
        <f>B111+B112</f>
        <v>3877167.4800000004</v>
      </c>
      <c r="C113" s="31" t="s">
        <v>224</v>
      </c>
    </row>
    <row r="116" spans="1:3" x14ac:dyDescent="0.2">
      <c r="A116" s="24" t="s">
        <v>225</v>
      </c>
      <c r="B116" s="62">
        <f>D100</f>
        <v>4957815.919999999</v>
      </c>
    </row>
    <row r="117" spans="1:3" x14ac:dyDescent="0.2">
      <c r="A117" s="24" t="s">
        <v>226</v>
      </c>
      <c r="B117" s="53">
        <f>SUM(B107-B108)</f>
        <v>6736287.04</v>
      </c>
    </row>
    <row r="118" spans="1:3" x14ac:dyDescent="0.2">
      <c r="A118" s="24" t="s">
        <v>227</v>
      </c>
      <c r="B118" s="63">
        <f>B116/B117</f>
        <v>0.73598644038778949</v>
      </c>
    </row>
    <row r="120" spans="1:3" x14ac:dyDescent="0.2">
      <c r="A120" s="24" t="s">
        <v>228</v>
      </c>
      <c r="B120" s="64">
        <f>B111</f>
        <v>3812472.0800000005</v>
      </c>
    </row>
    <row r="121" spans="1:3" x14ac:dyDescent="0.2">
      <c r="A121" s="24" t="s">
        <v>226</v>
      </c>
      <c r="B121" s="65">
        <f>SUM(B107-B108)</f>
        <v>6736287.04</v>
      </c>
    </row>
    <row r="122" spans="1:3" x14ac:dyDescent="0.2">
      <c r="A122" s="24" t="s">
        <v>229</v>
      </c>
      <c r="B122" s="63">
        <f>B120/B121</f>
        <v>0.56596045527181105</v>
      </c>
    </row>
    <row r="123" spans="1:3" x14ac:dyDescent="0.2">
      <c r="A123" s="24"/>
      <c r="B123" s="63"/>
    </row>
    <row r="124" spans="1:3" x14ac:dyDescent="0.2">
      <c r="A124" s="24"/>
      <c r="B124" s="63"/>
    </row>
  </sheetData>
  <phoneticPr fontId="2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249977111117893"/>
    <pageSetUpPr fitToPage="1"/>
  </sheetPr>
  <dimension ref="A1:M24"/>
  <sheetViews>
    <sheetView zoomScale="150" zoomScaleNormal="150" workbookViewId="0">
      <selection activeCell="N10" sqref="N10"/>
    </sheetView>
  </sheetViews>
  <sheetFormatPr defaultColWidth="9.140625" defaultRowHeight="12" x14ac:dyDescent="0.2"/>
  <cols>
    <col min="1" max="1" width="33.7109375" style="2" bestFit="1" customWidth="1"/>
    <col min="2" max="16384" width="9.140625" style="2"/>
  </cols>
  <sheetData>
    <row r="1" spans="1:13" x14ac:dyDescent="0.2">
      <c r="A1" s="1" t="s">
        <v>346</v>
      </c>
      <c r="B1" s="17" t="s">
        <v>86</v>
      </c>
      <c r="C1" s="18" t="s">
        <v>88</v>
      </c>
    </row>
    <row r="3" spans="1:13" x14ac:dyDescent="0.2">
      <c r="B3" s="19">
        <v>45658</v>
      </c>
      <c r="C3" s="19">
        <v>45689</v>
      </c>
      <c r="D3" s="19">
        <v>45717</v>
      </c>
      <c r="E3" s="19">
        <v>45748</v>
      </c>
      <c r="F3" s="19">
        <v>45778</v>
      </c>
      <c r="G3" s="19">
        <v>45809</v>
      </c>
      <c r="H3" s="19">
        <v>45839</v>
      </c>
      <c r="I3" s="19">
        <v>45870</v>
      </c>
      <c r="J3" s="19">
        <v>45901</v>
      </c>
      <c r="K3" s="19">
        <v>45931</v>
      </c>
      <c r="L3" s="19">
        <v>45962</v>
      </c>
      <c r="M3" s="19">
        <v>45992</v>
      </c>
    </row>
    <row r="4" spans="1:13" x14ac:dyDescent="0.2">
      <c r="A4" s="2" t="s">
        <v>74</v>
      </c>
      <c r="B4" s="20"/>
      <c r="C4" s="20"/>
      <c r="D4" s="20"/>
      <c r="E4" s="20"/>
      <c r="F4" s="20"/>
      <c r="G4" s="20"/>
      <c r="H4" s="20"/>
      <c r="I4" s="20"/>
      <c r="J4" s="20"/>
      <c r="K4" s="20">
        <v>100000</v>
      </c>
      <c r="L4" s="20"/>
      <c r="M4" s="20"/>
    </row>
    <row r="5" spans="1:13" x14ac:dyDescent="0.2">
      <c r="A5" s="2" t="s">
        <v>75</v>
      </c>
      <c r="B5" s="20"/>
      <c r="C5" s="20"/>
      <c r="D5" s="20"/>
      <c r="E5" s="20"/>
      <c r="F5" s="20"/>
      <c r="G5" s="20"/>
      <c r="H5" s="20"/>
      <c r="I5" s="20"/>
      <c r="J5" s="20"/>
      <c r="K5" s="20">
        <v>29000</v>
      </c>
      <c r="L5" s="20"/>
      <c r="M5" s="20"/>
    </row>
    <row r="6" spans="1:13" x14ac:dyDescent="0.2">
      <c r="A6" s="2" t="s">
        <v>76</v>
      </c>
      <c r="B6" s="20"/>
      <c r="C6" s="20"/>
      <c r="D6" s="20"/>
      <c r="E6" s="20"/>
      <c r="F6" s="20"/>
      <c r="G6" s="20"/>
      <c r="H6" s="20"/>
      <c r="I6" s="20"/>
      <c r="J6" s="20"/>
      <c r="K6" s="20">
        <v>750</v>
      </c>
      <c r="L6" s="20"/>
      <c r="M6" s="20"/>
    </row>
    <row r="7" spans="1:13" x14ac:dyDescent="0.2">
      <c r="A7" s="2" t="s">
        <v>77</v>
      </c>
      <c r="B7" s="20"/>
      <c r="C7" s="20"/>
      <c r="D7" s="20"/>
      <c r="E7" s="20"/>
      <c r="F7" s="20"/>
      <c r="G7" s="20"/>
      <c r="H7" s="20"/>
      <c r="I7" s="20"/>
      <c r="J7" s="20"/>
      <c r="K7" s="20">
        <v>300</v>
      </c>
      <c r="L7" s="20"/>
      <c r="M7" s="20"/>
    </row>
    <row r="8" spans="1:13" x14ac:dyDescent="0.2">
      <c r="A8" s="2" t="s">
        <v>78</v>
      </c>
      <c r="B8" s="20"/>
      <c r="C8" s="20"/>
      <c r="D8" s="20"/>
      <c r="E8" s="20"/>
      <c r="F8" s="20"/>
      <c r="G8" s="20"/>
      <c r="H8" s="20"/>
      <c r="I8" s="20"/>
      <c r="J8" s="20"/>
      <c r="K8" s="20">
        <v>2000</v>
      </c>
      <c r="L8" s="20"/>
      <c r="M8" s="20"/>
    </row>
    <row r="9" spans="1:13" x14ac:dyDescent="0.2">
      <c r="A9" s="2" t="s">
        <v>79</v>
      </c>
      <c r="B9" s="20"/>
      <c r="C9" s="20"/>
      <c r="D9" s="20"/>
      <c r="E9" s="20"/>
      <c r="F9" s="20"/>
      <c r="G9" s="20"/>
      <c r="H9" s="20"/>
      <c r="I9" s="20"/>
      <c r="J9" s="20"/>
      <c r="K9" s="20">
        <v>1000</v>
      </c>
      <c r="L9" s="20"/>
      <c r="M9" s="20"/>
    </row>
    <row r="10" spans="1:13" x14ac:dyDescent="0.2">
      <c r="A10" s="2" t="s">
        <v>80</v>
      </c>
      <c r="B10" s="20"/>
      <c r="C10" s="20"/>
      <c r="D10" s="20"/>
      <c r="E10" s="20"/>
      <c r="F10" s="20"/>
      <c r="G10" s="20"/>
      <c r="H10" s="20"/>
      <c r="I10" s="20"/>
      <c r="J10" s="20"/>
      <c r="K10" s="20">
        <v>1500</v>
      </c>
      <c r="L10" s="20"/>
      <c r="M10" s="20"/>
    </row>
    <row r="11" spans="1:13" x14ac:dyDescent="0.2">
      <c r="A11" s="2" t="s">
        <v>81</v>
      </c>
      <c r="B11" s="20"/>
      <c r="C11" s="20"/>
      <c r="D11" s="20"/>
      <c r="E11" s="20"/>
      <c r="F11" s="20"/>
      <c r="G11" s="20"/>
      <c r="H11" s="20"/>
      <c r="I11" s="20"/>
      <c r="J11" s="20"/>
      <c r="K11" s="20">
        <v>4000</v>
      </c>
      <c r="L11" s="20"/>
      <c r="M11" s="20"/>
    </row>
    <row r="12" spans="1:13" x14ac:dyDescent="0.2">
      <c r="A12" s="2" t="s">
        <v>82</v>
      </c>
      <c r="B12" s="20"/>
      <c r="C12" s="20"/>
      <c r="D12" s="20"/>
      <c r="E12" s="20"/>
      <c r="F12" s="20"/>
      <c r="G12" s="20"/>
      <c r="H12" s="20"/>
      <c r="I12" s="20"/>
      <c r="J12" s="20"/>
      <c r="K12" s="20">
        <v>3000</v>
      </c>
      <c r="L12" s="20"/>
      <c r="M12" s="20"/>
    </row>
    <row r="13" spans="1:13" x14ac:dyDescent="0.2">
      <c r="A13" s="2" t="s">
        <v>83</v>
      </c>
      <c r="B13" s="20"/>
      <c r="C13" s="20"/>
      <c r="D13" s="20"/>
      <c r="E13" s="20"/>
      <c r="F13" s="20"/>
      <c r="G13" s="20"/>
      <c r="H13" s="20"/>
      <c r="I13" s="20"/>
      <c r="J13" s="20"/>
      <c r="K13" s="20">
        <v>600</v>
      </c>
      <c r="L13" s="20"/>
      <c r="M13" s="20"/>
    </row>
    <row r="14" spans="1:13" x14ac:dyDescent="0.2">
      <c r="A14" s="2" t="s">
        <v>84</v>
      </c>
      <c r="B14" s="20"/>
      <c r="C14" s="20"/>
      <c r="D14" s="20"/>
      <c r="E14" s="20"/>
      <c r="F14" s="20"/>
      <c r="G14" s="20"/>
      <c r="H14" s="20"/>
      <c r="I14" s="20"/>
      <c r="J14" s="20"/>
      <c r="K14" s="20">
        <v>5000</v>
      </c>
      <c r="L14" s="20"/>
      <c r="M14" s="20"/>
    </row>
    <row r="15" spans="1:13" x14ac:dyDescent="0.2">
      <c r="B15" s="21"/>
    </row>
    <row r="16" spans="1:13" x14ac:dyDescent="0.2">
      <c r="A16" s="2" t="s">
        <v>85</v>
      </c>
      <c r="B16" s="22">
        <f>(B4-B5-B6-B7+B8-B9-B10-B11-B12-B13-B14)</f>
        <v>0</v>
      </c>
      <c r="C16" s="22">
        <f t="shared" ref="C16:M16" si="0">(C4-C5-C6-C7+C8-C9-C10-C11-C12-C13-C14)</f>
        <v>0</v>
      </c>
      <c r="D16" s="22">
        <f t="shared" si="0"/>
        <v>0</v>
      </c>
      <c r="E16" s="22">
        <f t="shared" si="0"/>
        <v>0</v>
      </c>
      <c r="F16" s="22">
        <f t="shared" si="0"/>
        <v>0</v>
      </c>
      <c r="G16" s="22">
        <f t="shared" si="0"/>
        <v>0</v>
      </c>
      <c r="H16" s="22">
        <f t="shared" si="0"/>
        <v>0</v>
      </c>
      <c r="I16" s="22">
        <f t="shared" si="0"/>
        <v>0</v>
      </c>
      <c r="J16" s="22">
        <f t="shared" si="0"/>
        <v>0</v>
      </c>
      <c r="K16" s="22">
        <f t="shared" si="0"/>
        <v>56850</v>
      </c>
      <c r="L16" s="22">
        <f t="shared" si="0"/>
        <v>0</v>
      </c>
      <c r="M16" s="22">
        <f t="shared" si="0"/>
        <v>0</v>
      </c>
    </row>
    <row r="17" spans="1:13" x14ac:dyDescent="0.2">
      <c r="A17" s="2" t="s">
        <v>87</v>
      </c>
      <c r="B17" s="23">
        <v>0.98</v>
      </c>
      <c r="C17" s="23">
        <v>0.98</v>
      </c>
      <c r="D17" s="23">
        <v>0.98</v>
      </c>
      <c r="E17" s="23">
        <v>0.98</v>
      </c>
      <c r="F17" s="23">
        <v>0.98</v>
      </c>
      <c r="G17" s="23">
        <v>0.98</v>
      </c>
      <c r="H17" s="23">
        <v>0.98</v>
      </c>
      <c r="I17" s="23">
        <v>0.98</v>
      </c>
      <c r="J17" s="23">
        <v>0.98</v>
      </c>
      <c r="K17" s="23">
        <v>0.98</v>
      </c>
      <c r="L17" s="23">
        <v>0.98</v>
      </c>
      <c r="M17" s="23">
        <v>0.98</v>
      </c>
    </row>
    <row r="18" spans="1:13" x14ac:dyDescent="0.2">
      <c r="A18" s="2" t="s">
        <v>36</v>
      </c>
      <c r="B18" s="22">
        <f>B16*B17</f>
        <v>0</v>
      </c>
      <c r="C18" s="22">
        <f t="shared" ref="C18:M18" si="1">C16*C17</f>
        <v>0</v>
      </c>
      <c r="D18" s="22">
        <f t="shared" si="1"/>
        <v>0</v>
      </c>
      <c r="E18" s="22">
        <f t="shared" si="1"/>
        <v>0</v>
      </c>
      <c r="F18" s="22">
        <f t="shared" si="1"/>
        <v>0</v>
      </c>
      <c r="G18" s="22">
        <f t="shared" si="1"/>
        <v>0</v>
      </c>
      <c r="H18" s="22">
        <f t="shared" si="1"/>
        <v>0</v>
      </c>
      <c r="I18" s="22">
        <f t="shared" si="1"/>
        <v>0</v>
      </c>
      <c r="J18" s="22">
        <f t="shared" si="1"/>
        <v>0</v>
      </c>
      <c r="K18" s="22">
        <f t="shared" si="1"/>
        <v>55713</v>
      </c>
      <c r="L18" s="22">
        <f t="shared" si="1"/>
        <v>0</v>
      </c>
      <c r="M18" s="22">
        <f t="shared" si="1"/>
        <v>0</v>
      </c>
    </row>
    <row r="19" spans="1:13" x14ac:dyDescent="0.2">
      <c r="B19" s="21"/>
    </row>
    <row r="20" spans="1:13" x14ac:dyDescent="0.2">
      <c r="A20" s="2" t="s">
        <v>89</v>
      </c>
      <c r="B20" s="20"/>
      <c r="C20" s="20"/>
      <c r="D20" s="20"/>
      <c r="E20" s="20"/>
      <c r="F20" s="20"/>
      <c r="G20" s="20"/>
      <c r="H20" s="20"/>
      <c r="I20" s="20"/>
      <c r="J20" s="20"/>
      <c r="K20" s="20">
        <v>53000</v>
      </c>
      <c r="L20" s="20"/>
      <c r="M20" s="20"/>
    </row>
    <row r="22" spans="1:13" x14ac:dyDescent="0.2">
      <c r="A22" s="2" t="s">
        <v>90</v>
      </c>
      <c r="B22" s="20"/>
      <c r="C22" s="20"/>
      <c r="D22" s="20"/>
      <c r="E22" s="20"/>
      <c r="F22" s="20"/>
      <c r="G22" s="20"/>
      <c r="H22" s="20"/>
      <c r="I22" s="20"/>
      <c r="J22" s="20"/>
      <c r="K22" s="20">
        <v>54000</v>
      </c>
      <c r="L22" s="20"/>
      <c r="M22" s="20"/>
    </row>
    <row r="24" spans="1:13" x14ac:dyDescent="0.2">
      <c r="A24" s="2" t="s">
        <v>91</v>
      </c>
      <c r="B24" s="22">
        <f>B22-B20</f>
        <v>0</v>
      </c>
      <c r="C24" s="22">
        <f t="shared" ref="C24:M24" si="2">C22-C20</f>
        <v>0</v>
      </c>
      <c r="D24" s="22">
        <f t="shared" si="2"/>
        <v>0</v>
      </c>
      <c r="E24" s="22">
        <f t="shared" si="2"/>
        <v>0</v>
      </c>
      <c r="F24" s="22">
        <f t="shared" si="2"/>
        <v>0</v>
      </c>
      <c r="G24" s="22">
        <f t="shared" si="2"/>
        <v>0</v>
      </c>
      <c r="H24" s="22">
        <f t="shared" si="2"/>
        <v>0</v>
      </c>
      <c r="I24" s="22">
        <f t="shared" si="2"/>
        <v>0</v>
      </c>
      <c r="J24" s="22">
        <f t="shared" si="2"/>
        <v>0</v>
      </c>
      <c r="K24" s="22">
        <f t="shared" si="2"/>
        <v>1000</v>
      </c>
      <c r="L24" s="22">
        <f t="shared" si="2"/>
        <v>0</v>
      </c>
      <c r="M24" s="22">
        <f t="shared" si="2"/>
        <v>0</v>
      </c>
    </row>
  </sheetData>
  <phoneticPr fontId="2" type="noConversion"/>
  <pageMargins left="0.75" right="0.75" top="1" bottom="1" header="0.5" footer="0.5"/>
  <pageSetup scale="8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D5F05E452582498439F12039D3EE05" ma:contentTypeVersion="2" ma:contentTypeDescription="Create a new document." ma:contentTypeScope="" ma:versionID="1454b12e851ab500201a2e2245b94768">
  <xsd:schema xmlns:xsd="http://www.w3.org/2001/XMLSchema" xmlns:xs="http://www.w3.org/2001/XMLSchema" xmlns:p="http://schemas.microsoft.com/office/2006/metadata/properties" xmlns:ns3="e6f06e01-a387-4eaf-9234-96cc1b7172c6" targetNamespace="http://schemas.microsoft.com/office/2006/metadata/properties" ma:root="true" ma:fieldsID="438adce6339fb581a28e02016743c0bc" ns3:_="">
    <xsd:import namespace="e6f06e01-a387-4eaf-9234-96cc1b7172c6"/>
    <xsd:element name="properties">
      <xsd:complexType>
        <xsd:sequence>
          <xsd:element name="documentManagement">
            <xsd:complexType>
              <xsd:all>
                <xsd:element ref="ns3:Module"/>
                <xsd:element ref="ns3:Topi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06e01-a387-4eaf-9234-96cc1b7172c6" elementFormDefault="qualified">
    <xsd:import namespace="http://schemas.microsoft.com/office/2006/documentManagement/types"/>
    <xsd:import namespace="http://schemas.microsoft.com/office/infopath/2007/PartnerControls"/>
    <xsd:element name="Module" ma:index="8" ma:displayName="Module" ma:format="Dropdown" ma:internalName="Module">
      <xsd:simpleType>
        <xsd:restriction base="dms:Choice">
          <xsd:enumeration value="2006 Best Practices"/>
          <xsd:enumeration value="Bankruptcy"/>
          <xsd:enumeration value="Collections"/>
          <xsd:enumeration value="Customer Service"/>
          <xsd:enumeration value="Forecasting"/>
          <xsd:enumeration value="Managing People"/>
          <xsd:enumeration value="Legal"/>
          <xsd:enumeration value="Measurements"/>
          <xsd:enumeration value="Risk Assessment"/>
          <xsd:enumeration value="Security"/>
          <xsd:enumeration value="Miscellaneous AR Items"/>
          <xsd:enumeration value="International AR Tools"/>
          <xsd:enumeration value="Lunch and Learn Presentations"/>
          <xsd:enumeration value="GetPaid Training"/>
          <xsd:enumeration value="Conference Presentations (i.e. FCIB, NACM, CRF, ICTF)"/>
        </xsd:restriction>
      </xsd:simpleType>
    </xsd:element>
    <xsd:element name="Topic" ma:index="9" ma:displayName="Topic" ma:format="Dropdown" ma:internalName="Topic">
      <xsd:simpleType>
        <xsd:restriction base="dms:Choice">
          <xsd:enumeration value="2011 NACM Credit Congress"/>
          <xsd:enumeration value="Additional Resources"/>
          <xsd:enumeration value="ADR"/>
          <xsd:enumeration value="Analyzing Public Companies"/>
          <xsd:enumeration value="Asset Based Lending"/>
          <xsd:enumeration value="Anti-trust"/>
          <xsd:enumeration value="Assignment for Benefit of Creditors"/>
          <xsd:enumeration value="Bad Debt"/>
          <xsd:enumeration value="Bank Guarantees"/>
          <xsd:enumeration value="Budget Management (Dept)"/>
          <xsd:enumeration value="Case Studies"/>
          <xsd:enumeration value="Change Management"/>
          <xsd:enumeration value="Chapter 7"/>
          <xsd:enumeration value="Chapter 9"/>
          <xsd:enumeration value="Chapter 11"/>
          <xsd:enumeration value="Chapter 12"/>
          <xsd:enumeration value="Chapter 13"/>
          <xsd:enumeration value="Check 21"/>
          <xsd:enumeration value="Collection Letters"/>
          <xsd:enumeration value="Collection Tips"/>
          <xsd:enumeration value="Completing the review"/>
          <xsd:enumeration value="Conflict Management/Team Conflict"/>
          <xsd:enumeration value="Consignment"/>
          <xsd:enumeration value="Credit Card Payment Programs / Surcharge"/>
          <xsd:enumeration value="Credit Law Background/Foundation"/>
          <xsd:enumeration value="Creditors' Committee"/>
          <xsd:enumeration value="Customer Service"/>
          <xsd:enumeration value="Customer Visits"/>
          <xsd:enumeration value="D&amp;B"/>
          <xsd:enumeration value="Deductions Management"/>
          <xsd:enumeration value="Definitions and Explanations"/>
          <xsd:enumeration value="Documentary Collections"/>
          <xsd:enumeration value="ECOA"/>
          <xsd:enumeration value="Email Usage"/>
          <xsd:enumeration value="Escheatment"/>
          <xsd:enumeration value="Export Compliance"/>
          <xsd:enumeration value="Fair Debt"/>
          <xsd:enumeration value="Forecasting Basics"/>
          <xsd:enumeration value="F/S Analysis"/>
          <xsd:enumeration value="General"/>
          <xsd:enumeration value="Goals"/>
          <xsd:enumeration value="Guarantys"/>
          <xsd:enumeration value="High Performance Teams"/>
          <xsd:enumeration value="How and Why we measure"/>
          <xsd:enumeration value="How to write a policy"/>
          <xsd:enumeration value="Insurance"/>
          <xsd:enumeration value="Interviewing Tips"/>
          <xsd:enumeration value="Leadership"/>
          <xsd:enumeration value="Legal Business Structures"/>
          <xsd:enumeration value="Letters of Credit"/>
          <xsd:enumeration value="Listening"/>
          <xsd:enumeration value="Managers as Mentors"/>
          <xsd:enumeration value="Managing Collections"/>
          <xsd:enumeration value="Managing People"/>
          <xsd:enumeration value="Measurement Types and Purposes"/>
          <xsd:enumeration value="Meeting Facilitation"/>
          <xsd:enumeration value="NACM Credit Congress 2015"/>
          <xsd:enumeration value="Negotiation Skills"/>
          <xsd:enumeration value="New Employee Orientation"/>
          <xsd:enumeration value="Obtaining Financials"/>
          <xsd:enumeration value="Obtaining References"/>
          <xsd:enumeration value="Pagares"/>
          <xsd:enumeration value="Payment Terms"/>
          <xsd:enumeration value="Performance Reviews"/>
          <xsd:enumeration value="PMSI"/>
          <xsd:enumeration value="Presentation Skills"/>
          <xsd:enumeration value="Problem Solving"/>
          <xsd:enumeration value="Process Improvement Methods"/>
          <xsd:enumeration value="Projects and Bonds"/>
          <xsd:enumeration value="Promissory Notes"/>
          <xsd:enumeration value="Quiz"/>
          <xsd:enumeration value="Recognition"/>
          <xsd:enumeration value="Security Agreements"/>
          <xsd:enumeration value="Security Types/Purposes/Pros/Cons"/>
          <xsd:enumeration value="Selling AR"/>
          <xsd:enumeration value="Sharing Customer Information"/>
          <xsd:enumeration value="SOX"/>
          <xsd:enumeration value="Stress Management"/>
          <xsd:enumeration value="Structured Trade Finance Tools"/>
          <xsd:enumeration value="Third Party Collections"/>
          <xsd:enumeration value="Time Management"/>
          <xsd:enumeration value="UCC Liens"/>
          <xsd:enumeration value="Understanding Personalities"/>
          <xsd:enumeration value="Using Outside Credit Resources"/>
          <xsd:enumeration value="Writing a Credit Dept Business Plan"/>
          <xsd:enumeration value="Credit Activities / Risk Module"/>
          <xsd:enumeration value="GetPaid User Training Guides"/>
          <xsd:enumeration value="GetPaid Admin Training Guides"/>
          <xsd:enumeration value="Pentair Training Notes / Reference Info"/>
          <xsd:enumeration value="Pentair Comprehensive User Training Docs"/>
          <xsd:enumeration value="CRF"/>
          <xsd:enumeration value="FCIB"/>
          <xsd:enumeration value="ICTF"/>
          <xsd:enumeration value="NACM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Subject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 xmlns="e6f06e01-a387-4eaf-9234-96cc1b7172c6">Forecasting Basics</Topic>
    <Module xmlns="e6f06e01-a387-4eaf-9234-96cc1b7172c6">Forecasting</Module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81D32C-0C35-4373-B491-39AF5D74A4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f06e01-a387-4eaf-9234-96cc1b7172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6FFA78-FA82-4C70-B5B2-018123582F37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D44F463-910C-4890-BE1A-F8FF8C6CCF50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  <ds:schemaRef ds:uri="e6f06e01-a387-4eaf-9234-96cc1b7172c6"/>
    <ds:schemaRef ds:uri="http://purl.org/dc/elements/1.1/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831CDDE1-AAAB-4191-B18D-2D26F23B6B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% Beg AR</vt:lpstr>
      <vt:lpstr>Mthly Mov Avg</vt:lpstr>
      <vt:lpstr>% AR</vt:lpstr>
      <vt:lpstr>Build Up</vt:lpstr>
      <vt:lpstr>Roll Forward</vt:lpstr>
      <vt:lpstr>DSO</vt:lpstr>
      <vt:lpstr>Top XX Bucket</vt:lpstr>
      <vt:lpstr>Customer by Customer</vt:lpstr>
      <vt:lpstr>Avail Model X</vt:lpstr>
      <vt:lpstr>Avail Model y</vt:lpstr>
    </vt:vector>
  </TitlesOfParts>
  <Company>Pentair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Various forecasting model templates</dc:title>
  <dc:creator>JoAnn Malz</dc:creator>
  <cp:lastModifiedBy>JoAnn Malz</cp:lastModifiedBy>
  <cp:lastPrinted>2005-10-06T11:51:28Z</cp:lastPrinted>
  <dcterms:created xsi:type="dcterms:W3CDTF">2005-10-03T01:49:15Z</dcterms:created>
  <dcterms:modified xsi:type="dcterms:W3CDTF">2025-03-12T19:51:09Z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odule1">
    <vt:lpwstr>Forecasting</vt:lpwstr>
  </property>
  <property fmtid="{D5CDD505-2E9C-101B-9397-08002B2CF9AE}" pid="3" name="Order">
    <vt:lpwstr>2300.00000000000</vt:lpwstr>
  </property>
  <property fmtid="{D5CDD505-2E9C-101B-9397-08002B2CF9AE}" pid="4" name="Topic1">
    <vt:lpwstr>Forecasting Basics</vt:lpwstr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ContentTypeId">
    <vt:lpwstr>0x01010016D5F05E452582498439F12039D3EE05</vt:lpwstr>
  </property>
</Properties>
</file>